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KVO 180102\Dokumenty JC\Sokol žižkov\reko střechy 2022\"/>
    </mc:Choice>
  </mc:AlternateContent>
  <xr:revisionPtr revIDLastSave="0" documentId="8_{6AF46D39-79C9-47D4-8AED-0D66453C4AA3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Rekapitulace!$G$18</definedName>
    <definedName name="Dodavka0">Položky!#REF!</definedName>
    <definedName name="HSV">Rekapitulace!$E$18</definedName>
    <definedName name="HSV0">Položky!#REF!</definedName>
    <definedName name="HZS">Rekapitulace!$I$18</definedName>
    <definedName name="HZS0">Položky!#REF!</definedName>
    <definedName name="JKSO">'Krycí list'!$G$2</definedName>
    <definedName name="MJ">'Krycí list'!$G$5</definedName>
    <definedName name="Mont">Rekapitulace!$H$18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Položky!$A$1:$K$188</definedName>
    <definedName name="_xlnm.Print_Area" localSheetId="1">Rekapitulace!$A$1:$I$32</definedName>
    <definedName name="PocetMJ">'Krycí list'!$G$6</definedName>
    <definedName name="Poznamka">'Krycí list'!$B$37</definedName>
    <definedName name="Projektant">'Krycí list'!$C$8</definedName>
    <definedName name="PSV">Rekapitulace!$F$18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CH">Položky!$I$6</definedName>
    <definedName name="SloupecJC">Položky!$F$6</definedName>
    <definedName name="SloupecJH">Položky!$H$6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G161" i="3"/>
  <c r="E163" i="3"/>
  <c r="E162" i="3" s="1"/>
  <c r="E164" i="3"/>
  <c r="I162" i="3" l="1"/>
  <c r="G162" i="3"/>
  <c r="K162" i="3"/>
  <c r="B17" i="2" l="1"/>
  <c r="B14" i="2"/>
  <c r="B12" i="2"/>
  <c r="B8" i="2"/>
  <c r="E150" i="3"/>
  <c r="E116" i="3"/>
  <c r="E122" i="3"/>
  <c r="E88" i="3"/>
  <c r="E113" i="3"/>
  <c r="E19" i="3"/>
  <c r="E18" i="3" s="1"/>
  <c r="K18" i="3" s="1"/>
  <c r="K30" i="3" s="1"/>
  <c r="E55" i="3"/>
  <c r="E54" i="3" s="1"/>
  <c r="I54" i="3" s="1"/>
  <c r="C58" i="3"/>
  <c r="E148" i="3"/>
  <c r="E112" i="3"/>
  <c r="E156" i="3"/>
  <c r="I156" i="3" s="1"/>
  <c r="E155" i="3"/>
  <c r="E154" i="3" s="1"/>
  <c r="E118" i="3"/>
  <c r="E117" i="3"/>
  <c r="I117" i="3" s="1"/>
  <c r="E119" i="3"/>
  <c r="I119" i="3" s="1"/>
  <c r="E86" i="3"/>
  <c r="E85" i="3" s="1"/>
  <c r="I85" i="3" s="1"/>
  <c r="E146" i="3"/>
  <c r="E132" i="3"/>
  <c r="E98" i="3"/>
  <c r="E97" i="3"/>
  <c r="E37" i="3"/>
  <c r="I37" i="3" s="1"/>
  <c r="E39" i="3"/>
  <c r="K39" i="3" s="1"/>
  <c r="E145" i="3"/>
  <c r="E111" i="3"/>
  <c r="E110" i="3"/>
  <c r="E138" i="3"/>
  <c r="E137" i="3"/>
  <c r="E136" i="3"/>
  <c r="E135" i="3"/>
  <c r="E134" i="3"/>
  <c r="E104" i="3"/>
  <c r="E103" i="3"/>
  <c r="E102" i="3"/>
  <c r="E101" i="3"/>
  <c r="E100" i="3"/>
  <c r="E140" i="3"/>
  <c r="E106" i="3"/>
  <c r="E144" i="3"/>
  <c r="E131" i="3"/>
  <c r="E143" i="3"/>
  <c r="E130" i="3"/>
  <c r="E109" i="3"/>
  <c r="E96" i="3"/>
  <c r="E108" i="3" l="1"/>
  <c r="I108" i="3" s="1"/>
  <c r="E129" i="3"/>
  <c r="K129" i="3" s="1"/>
  <c r="G54" i="3"/>
  <c r="E142" i="3"/>
  <c r="K142" i="3" s="1"/>
  <c r="G18" i="3"/>
  <c r="I18" i="3"/>
  <c r="K54" i="3"/>
  <c r="I58" i="3"/>
  <c r="K37" i="3"/>
  <c r="K156" i="3"/>
  <c r="G156" i="3"/>
  <c r="K154" i="3"/>
  <c r="I154" i="3"/>
  <c r="G154" i="3"/>
  <c r="K117" i="3"/>
  <c r="K119" i="3"/>
  <c r="G117" i="3"/>
  <c r="G119" i="3"/>
  <c r="K85" i="3"/>
  <c r="G85" i="3"/>
  <c r="E95" i="3"/>
  <c r="G95" i="3" s="1"/>
  <c r="G37" i="3"/>
  <c r="G39" i="3"/>
  <c r="I39" i="3"/>
  <c r="E99" i="3"/>
  <c r="I99" i="3" s="1"/>
  <c r="E87" i="3"/>
  <c r="I87" i="3" s="1"/>
  <c r="E121" i="3"/>
  <c r="K121" i="3" s="1"/>
  <c r="E123" i="3"/>
  <c r="I123" i="3" s="1"/>
  <c r="E125" i="3"/>
  <c r="I125" i="3" s="1"/>
  <c r="E127" i="3"/>
  <c r="I127" i="3" s="1"/>
  <c r="E133" i="3"/>
  <c r="I133" i="3" s="1"/>
  <c r="E139" i="3"/>
  <c r="K139" i="3" s="1"/>
  <c r="E149" i="3"/>
  <c r="I149" i="3" s="1"/>
  <c r="J89" i="3"/>
  <c r="E89" i="3"/>
  <c r="I89" i="3" s="1"/>
  <c r="E91" i="3"/>
  <c r="I91" i="3" s="1"/>
  <c r="E93" i="3"/>
  <c r="K93" i="3" s="1"/>
  <c r="E105" i="3"/>
  <c r="K105" i="3" s="1"/>
  <c r="E60" i="3"/>
  <c r="K80" i="3"/>
  <c r="I80" i="3"/>
  <c r="G80" i="3"/>
  <c r="E78" i="3"/>
  <c r="E77" i="3" s="1"/>
  <c r="G77" i="3" s="1"/>
  <c r="K58" i="3" l="1"/>
  <c r="G58" i="3"/>
  <c r="F12" i="2" s="1"/>
  <c r="E56" i="3"/>
  <c r="K99" i="3"/>
  <c r="G99" i="3"/>
  <c r="I95" i="3"/>
  <c r="K95" i="3"/>
  <c r="K87" i="3"/>
  <c r="G87" i="3"/>
  <c r="K91" i="3"/>
  <c r="G93" i="3"/>
  <c r="I93" i="3"/>
  <c r="K89" i="3"/>
  <c r="K123" i="3"/>
  <c r="K127" i="3"/>
  <c r="K149" i="3"/>
  <c r="K133" i="3"/>
  <c r="I121" i="3"/>
  <c r="G121" i="3"/>
  <c r="G123" i="3"/>
  <c r="G125" i="3"/>
  <c r="K125" i="3"/>
  <c r="G127" i="3"/>
  <c r="G129" i="3"/>
  <c r="I129" i="3"/>
  <c r="G133" i="3"/>
  <c r="G139" i="3"/>
  <c r="I139" i="3"/>
  <c r="I142" i="3"/>
  <c r="G142" i="3"/>
  <c r="G149" i="3"/>
  <c r="G89" i="3"/>
  <c r="G108" i="3"/>
  <c r="K108" i="3"/>
  <c r="G91" i="3"/>
  <c r="G105" i="3"/>
  <c r="I105" i="3"/>
  <c r="I77" i="3"/>
  <c r="K77" i="3"/>
  <c r="C152" i="3"/>
  <c r="E115" i="3"/>
  <c r="E187" i="3"/>
  <c r="K186" i="3"/>
  <c r="I186" i="3"/>
  <c r="G186" i="3"/>
  <c r="G56" i="3" l="1"/>
  <c r="K56" i="3"/>
  <c r="I56" i="3"/>
  <c r="G115" i="3"/>
  <c r="K115" i="3"/>
  <c r="I115" i="3"/>
  <c r="E151" i="3" l="1"/>
  <c r="I151" i="3" s="1"/>
  <c r="I152" i="3" s="1"/>
  <c r="K151" i="3" l="1"/>
  <c r="K152" i="3" s="1"/>
  <c r="G151" i="3"/>
  <c r="G152" i="3" s="1"/>
  <c r="F14" i="2" s="1"/>
  <c r="C188" i="3"/>
  <c r="C16" i="3"/>
  <c r="E15" i="3"/>
  <c r="E14" i="3"/>
  <c r="E9" i="3"/>
  <c r="E10" i="3"/>
  <c r="G81" i="3"/>
  <c r="E176" i="3"/>
  <c r="E175" i="3"/>
  <c r="E178" i="3"/>
  <c r="E183" i="3"/>
  <c r="E182" i="3"/>
  <c r="E181" i="3"/>
  <c r="E180" i="3"/>
  <c r="E179" i="3"/>
  <c r="E174" i="3"/>
  <c r="E173" i="3"/>
  <c r="E172" i="3"/>
  <c r="E76" i="3"/>
  <c r="E75" i="3"/>
  <c r="E70" i="3"/>
  <c r="E69" i="3"/>
  <c r="E68" i="3"/>
  <c r="E167" i="3"/>
  <c r="E166" i="3"/>
  <c r="E160" i="3"/>
  <c r="G160" i="3" s="1"/>
  <c r="E159" i="3"/>
  <c r="G159" i="3" s="1"/>
  <c r="E73" i="3"/>
  <c r="E72" i="3"/>
  <c r="E66" i="3"/>
  <c r="E65" i="3"/>
  <c r="E64" i="3"/>
  <c r="E50" i="3"/>
  <c r="E49" i="3" s="1"/>
  <c r="E48" i="3"/>
  <c r="E46" i="3" s="1"/>
  <c r="I46" i="3" s="1"/>
  <c r="E45" i="3"/>
  <c r="E44" i="3"/>
  <c r="E42" i="3"/>
  <c r="E41" i="3" s="1"/>
  <c r="E36" i="3"/>
  <c r="E35" i="3" s="1"/>
  <c r="I35" i="3" s="1"/>
  <c r="I18" i="2"/>
  <c r="C21" i="1" s="1"/>
  <c r="H18" i="2"/>
  <c r="C17" i="1" s="1"/>
  <c r="B16" i="2"/>
  <c r="B15" i="2"/>
  <c r="B13" i="2"/>
  <c r="B11" i="2"/>
  <c r="B10" i="2"/>
  <c r="B9" i="2"/>
  <c r="B7" i="2"/>
  <c r="C33" i="3"/>
  <c r="C184" i="3"/>
  <c r="C83" i="3"/>
  <c r="K60" i="3"/>
  <c r="I60" i="3"/>
  <c r="G60" i="3"/>
  <c r="C11" i="3"/>
  <c r="D21" i="1"/>
  <c r="D20" i="1"/>
  <c r="D19" i="1"/>
  <c r="D18" i="1"/>
  <c r="D17" i="1"/>
  <c r="D16" i="1"/>
  <c r="D15" i="1"/>
  <c r="C169" i="3"/>
  <c r="C52" i="3"/>
  <c r="C2" i="1"/>
  <c r="D2" i="1"/>
  <c r="G7" i="1"/>
  <c r="C9" i="1"/>
  <c r="C31" i="1"/>
  <c r="C33" i="1"/>
  <c r="F33" i="1" s="1"/>
  <c r="C1" i="2"/>
  <c r="C2" i="2"/>
  <c r="C3" i="3"/>
  <c r="C4" i="3"/>
  <c r="E4" i="3"/>
  <c r="C30" i="3"/>
  <c r="I29" i="3"/>
  <c r="G29" i="3"/>
  <c r="E13" i="3" l="1"/>
  <c r="K13" i="3" s="1"/>
  <c r="K16" i="3" s="1"/>
  <c r="E63" i="3"/>
  <c r="I63" i="3" s="1"/>
  <c r="E165" i="3"/>
  <c r="G165" i="3" s="1"/>
  <c r="E74" i="3"/>
  <c r="I74" i="3" s="1"/>
  <c r="E43" i="3"/>
  <c r="K43" i="3" s="1"/>
  <c r="E71" i="3"/>
  <c r="G71" i="3" s="1"/>
  <c r="I81" i="3"/>
  <c r="E158" i="3"/>
  <c r="I158" i="3" s="1"/>
  <c r="E171" i="3"/>
  <c r="K171" i="3" s="1"/>
  <c r="K184" i="3" s="1"/>
  <c r="K35" i="3"/>
  <c r="G35" i="3"/>
  <c r="K46" i="3"/>
  <c r="E67" i="3"/>
  <c r="K67" i="3" s="1"/>
  <c r="E8" i="3"/>
  <c r="I8" i="3" s="1"/>
  <c r="I11" i="3" s="1"/>
  <c r="K49" i="3"/>
  <c r="I49" i="3"/>
  <c r="G49" i="3"/>
  <c r="K41" i="3"/>
  <c r="I41" i="3"/>
  <c r="G41" i="3"/>
  <c r="K81" i="3"/>
  <c r="G46" i="3"/>
  <c r="G187" i="3"/>
  <c r="G188" i="3" s="1"/>
  <c r="G17" i="2" s="1"/>
  <c r="G18" i="2" s="1"/>
  <c r="C18" i="1" s="1"/>
  <c r="K187" i="3"/>
  <c r="K188" i="3" s="1"/>
  <c r="I187" i="3"/>
  <c r="I188" i="3" s="1"/>
  <c r="I13" i="3" l="1"/>
  <c r="I16" i="3" s="1"/>
  <c r="G13" i="3"/>
  <c r="G16" i="3" s="1"/>
  <c r="E8" i="2" s="1"/>
  <c r="K63" i="3"/>
  <c r="K165" i="3"/>
  <c r="I165" i="3"/>
  <c r="G63" i="3"/>
  <c r="K74" i="3"/>
  <c r="G74" i="3"/>
  <c r="I171" i="3"/>
  <c r="I184" i="3" s="1"/>
  <c r="G43" i="3"/>
  <c r="E51" i="3" s="1"/>
  <c r="K71" i="3"/>
  <c r="G171" i="3"/>
  <c r="G184" i="3" s="1"/>
  <c r="F16" i="2" s="1"/>
  <c r="I71" i="3"/>
  <c r="I67" i="3"/>
  <c r="K158" i="3"/>
  <c r="I43" i="3"/>
  <c r="G158" i="3"/>
  <c r="K8" i="3"/>
  <c r="K11" i="3" s="1"/>
  <c r="G67" i="3"/>
  <c r="G8" i="3"/>
  <c r="G11" i="3" s="1"/>
  <c r="E7" i="2" s="1"/>
  <c r="E168" i="3" l="1"/>
  <c r="G168" i="3" s="1"/>
  <c r="K83" i="3"/>
  <c r="E82" i="3"/>
  <c r="I82" i="3" s="1"/>
  <c r="G83" i="3"/>
  <c r="F13" i="2" s="1"/>
  <c r="I83" i="3"/>
  <c r="K51" i="3"/>
  <c r="K52" i="3" s="1"/>
  <c r="E27" i="3" s="1"/>
  <c r="G51" i="3"/>
  <c r="G52" i="3" s="1"/>
  <c r="F11" i="2" s="1"/>
  <c r="I51" i="3"/>
  <c r="I52" i="3" s="1"/>
  <c r="K168" i="3" l="1"/>
  <c r="K169" i="3" s="1"/>
  <c r="E28" i="3" s="1"/>
  <c r="G169" i="3"/>
  <c r="F15" i="2" s="1"/>
  <c r="F18" i="2" s="1"/>
  <c r="I168" i="3"/>
  <c r="I169" i="3" s="1"/>
  <c r="K82" i="3"/>
  <c r="G82" i="3"/>
  <c r="C16" i="1" l="1"/>
  <c r="I28" i="3"/>
  <c r="G28" i="3"/>
  <c r="E20" i="3"/>
  <c r="I27" i="3"/>
  <c r="G27" i="3"/>
  <c r="E22" i="3" l="1"/>
  <c r="E26" i="3"/>
  <c r="E24" i="3"/>
  <c r="G24" i="3" s="1"/>
  <c r="I20" i="3"/>
  <c r="G20" i="3"/>
  <c r="E21" i="3"/>
  <c r="I26" i="3" l="1"/>
  <c r="G26" i="3"/>
  <c r="E25" i="3"/>
  <c r="G25" i="3" s="1"/>
  <c r="I21" i="3"/>
  <c r="G21" i="3"/>
  <c r="I22" i="3"/>
  <c r="E23" i="3"/>
  <c r="G22" i="3"/>
  <c r="I24" i="3"/>
  <c r="I25" i="3" l="1"/>
  <c r="G23" i="3"/>
  <c r="G30" i="3" s="1"/>
  <c r="E9" i="2" s="1"/>
  <c r="I23" i="3"/>
  <c r="I30" i="3" l="1"/>
  <c r="E32" i="3" s="1"/>
  <c r="K32" i="3" s="1"/>
  <c r="K33" i="3" s="1"/>
  <c r="G32" i="3" l="1"/>
  <c r="G33" i="3" s="1"/>
  <c r="E10" i="2" s="1"/>
  <c r="I32" i="3"/>
  <c r="I33" i="3" s="1"/>
  <c r="E18" i="2" l="1"/>
  <c r="G23" i="2" s="1"/>
  <c r="G26" i="2" s="1"/>
  <c r="I26" i="2" s="1"/>
  <c r="G18" i="1" s="1"/>
  <c r="G27" i="2" l="1"/>
  <c r="I27" i="2" s="1"/>
  <c r="G19" i="1" s="1"/>
  <c r="C15" i="1"/>
  <c r="C19" i="1" s="1"/>
  <c r="C22" i="1" s="1"/>
  <c r="G29" i="2"/>
  <c r="I29" i="2" s="1"/>
  <c r="G21" i="1" s="1"/>
  <c r="G30" i="2"/>
  <c r="I30" i="2" s="1"/>
  <c r="G28" i="2"/>
  <c r="I28" i="2" s="1"/>
  <c r="G20" i="1" s="1"/>
  <c r="G25" i="2"/>
  <c r="I25" i="2" s="1"/>
  <c r="G17" i="1" s="1"/>
  <c r="I23" i="2"/>
  <c r="G15" i="1" s="1"/>
  <c r="G24" i="2"/>
  <c r="I24" i="2" s="1"/>
  <c r="G16" i="1" s="1"/>
  <c r="H31" i="2" l="1"/>
  <c r="G23" i="1" s="1"/>
  <c r="C23" i="1" s="1"/>
  <c r="F30" i="1" s="1"/>
  <c r="F31" i="1" s="1"/>
  <c r="F34" i="1" s="1"/>
  <c r="G22" i="1" l="1"/>
</calcChain>
</file>

<file path=xl/sharedStrings.xml><?xml version="1.0" encoding="utf-8"?>
<sst xmlns="http://schemas.openxmlformats.org/spreadsheetml/2006/main" count="455" uniqueCount="297">
  <si>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</si>
  <si>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</si>
  <si>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</si>
  <si>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</si>
  <si>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</si>
  <si>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</si>
  <si>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</si>
  <si>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</si>
  <si>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</si>
  <si>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</si>
  <si>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</si>
  <si>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</si>
  <si>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</si>
  <si>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</si>
  <si>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</si>
  <si>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</si>
  <si>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</si>
  <si>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</si>
  <si>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</si>
  <si>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</si>
  <si>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</si>
  <si>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</si>
  <si>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</si>
  <si>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</si>
  <si>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</si>
  <si>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</si>
  <si>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</si>
  <si>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</si>
  <si>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</si>
  <si>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</si>
  <si>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</si>
  <si>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</si>
  <si>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</si>
  <si>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</si>
  <si>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</si>
  <si>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</si>
  <si>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</si>
  <si>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</si>
  <si>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</si>
  <si>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</si>
  <si>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</si>
  <si>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</si>
  <si>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</si>
  <si>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</si>
  <si>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</si>
  <si>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</si>
  <si>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</si>
  <si>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</si>
  <si>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</si>
  <si>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</si>
  <si>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</si>
  <si>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</si>
  <si>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</si>
  <si>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</si>
  <si>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</si>
  <si>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</si>
  <si>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</si>
  <si>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</si>
  <si>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</si>
  <si>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</si>
  <si>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</si>
  <si>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</si>
  <si>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</si>
  <si>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</si>
  <si>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</si>
  <si>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</si>
  <si>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</si>
  <si>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</si>
  <si>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</si>
  <si>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</si>
  <si>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</si>
  <si>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</si>
  <si>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hmotnost / MJ</t>
  </si>
  <si>
    <t>hmotnost celk.(t)</t>
  </si>
  <si>
    <t>dem.hmot / MJ</t>
  </si>
  <si>
    <t>dem. hmot. celk.(t)</t>
  </si>
  <si>
    <t>Díl:</t>
  </si>
  <si>
    <t>Celkem za</t>
  </si>
  <si>
    <t>PV190723</t>
  </si>
  <si>
    <t>Tělocvična Žižkov</t>
  </si>
  <si>
    <t>0001</t>
  </si>
  <si>
    <t>střecha</t>
  </si>
  <si>
    <t>979011111R00</t>
  </si>
  <si>
    <t>Svislá doprava suti a vybour. hmot za 2.NP a 1.PP</t>
  </si>
  <si>
    <t>t</t>
  </si>
  <si>
    <t>979011219R00</t>
  </si>
  <si>
    <t>Přípl.k svislé dopr.suti za každé další NP nošením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</si>
  <si>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</si>
  <si>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</si>
  <si>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</si>
  <si>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</si>
  <si>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</si>
  <si>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</si>
  <si>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</si>
  <si>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</si>
  <si>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712</t>
  </si>
  <si>
    <t>Živičné krytiny</t>
  </si>
  <si>
    <t>712600831R00</t>
  </si>
  <si>
    <t>Odstranění živič.krytiny střech nad 30° 1vrstvé</t>
  </si>
  <si>
    <t>m2</t>
  </si>
  <si>
    <t>765</t>
  </si>
  <si>
    <t>Krytiny tvrdé</t>
  </si>
  <si>
    <t>765321810R00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</si>
  <si>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</si>
  <si>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</si>
  <si>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</si>
  <si>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</si>
  <si>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</si>
  <si>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</si>
  <si>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</si>
  <si>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</si>
  <si>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979990103R00</t>
  </si>
  <si>
    <t>979990121R00</t>
  </si>
  <si>
    <t>Poplatek za skládku suti - asfaltové pásy</t>
  </si>
  <si>
    <t>Poplatek za skládku suti - azbestocementové výrobky</t>
  </si>
  <si>
    <t>979990201R00</t>
  </si>
  <si>
    <t>3</t>
  </si>
  <si>
    <t>Svislé a kompletní konstrukce</t>
  </si>
  <si>
    <t>346244371RT2</t>
  </si>
  <si>
    <t>Zazdívka rýh, potrubí, kapes cihlami tl. 14 cm s použitím suché maltové směsi</t>
  </si>
  <si>
    <t>kus</t>
  </si>
  <si>
    <t>712341559RZ4</t>
  </si>
  <si>
    <t>Povlaková krytina střech do 10°, NAIP přitavením 2 vrstvy - včetně dodávky Bitagit S</t>
  </si>
  <si>
    <t>712441559RZ4</t>
  </si>
  <si>
    <t>Povlaková krytina střech do 30°, NAIP přitavením 2 vrstvy - včetně dodavky Bitubitagit S 35</t>
  </si>
  <si>
    <t>712600832RT2</t>
  </si>
  <si>
    <t>Odstranění živič.krytiny střech nad 30° 2vrstvé z ploch jednotlivě 10-20 m2</t>
  </si>
  <si>
    <t>u světlíku</t>
  </si>
  <si>
    <t>712600898RT2</t>
  </si>
  <si>
    <t>Příplatek za sklon přes 45° sklon střechy  50 - 60 stupňů</t>
  </si>
  <si>
    <t>762</t>
  </si>
  <si>
    <t>Konstrukce tesařské</t>
  </si>
  <si>
    <t>m</t>
  </si>
  <si>
    <t>762332934RT3</t>
  </si>
  <si>
    <t>Doplnění části střešní vazby z hranolků do 450 cm2 včetně dodávky řeziva, hranoly 18/25</t>
  </si>
  <si>
    <t>762341210RT3</t>
  </si>
  <si>
    <t>Montáž bednění střech rovných, prkna hrubá na sraz včetně dodávky řeziva, prkna tl. 22 mm</t>
  </si>
  <si>
    <t>762341811R00</t>
  </si>
  <si>
    <t>Demontáž bednění střech rovných z prken hrubých</t>
  </si>
  <si>
    <t>762342202RT2</t>
  </si>
  <si>
    <t>Montáž laťování střech, vzdálenost latí do 22 cm včetně dodávky řeziva, latě 3/5 cm</t>
  </si>
  <si>
    <t>762342204RT3</t>
  </si>
  <si>
    <t>Montáž laťování střech, svislé, vzdálenost 100 cm včetně dodávky řeziva, hranolek 5/5 cm</t>
  </si>
  <si>
    <t>765322521RT1</t>
  </si>
  <si>
    <t>Krytina vláknocement. Cembrit, složitá, na bednění jednoduché krytí, Betternit - česká šablona</t>
  </si>
  <si>
    <t>765799313RK2</t>
  </si>
  <si>
    <t>Montáž fólie na bednění přibitím, přelepení spojů podstřešní difúzní fólie Jutafol DTB 150 speciál</t>
  </si>
  <si>
    <t>783</t>
  </si>
  <si>
    <t>Nátěry</t>
  </si>
  <si>
    <t>783782205R00</t>
  </si>
  <si>
    <t>Nátěr tesařských konstrukcí Bochemitem QB 2x</t>
  </si>
  <si>
    <t>Přesun hmot pro povlakové krytiny, výšky do 24 m</t>
  </si>
  <si>
    <t>99</t>
  </si>
  <si>
    <t>998011003R00</t>
  </si>
  <si>
    <t>Přesun hmot pro budovy zděné výšky do 24 m</t>
  </si>
  <si>
    <t>998712203R00</t>
  </si>
  <si>
    <t>Přesun hmot pro tesařské konstrukce, výšky do 24 m</t>
  </si>
  <si>
    <t>998762203R00</t>
  </si>
  <si>
    <t>998765203R00</t>
  </si>
  <si>
    <t>Přesun hmot pro krytiny tvrdé, výšky do 24 m</t>
  </si>
  <si>
    <t>96</t>
  </si>
  <si>
    <t>Bourání</t>
  </si>
  <si>
    <t>S3:   1,95*7,0</t>
  </si>
  <si>
    <t>S3:   4,5*6,4/2</t>
  </si>
  <si>
    <t>S1:   (1,7+3,6)/2*5,0+3,6*9,4/2+3,3*4,4/2*2+(2,7+11,8)/2*6,2+(11,8+8,2)/2*5,0+(6,9+11,3)/2*3,0+(11,3+7,6)/2*5,0</t>
  </si>
  <si>
    <t>S2:   ((25,8+32,0)/2+(32,0+29,8)/2)*10,3-(1,7+5,7)/2*5,3-(1,7+3,6)/2*5,0-3,6*9,4/2</t>
  </si>
  <si>
    <t>S3:   1,95*7,0+4,5*6,4/2</t>
  </si>
  <si>
    <t>S1:   (2,7+11,8)/2*6,2+(11,8+8,2)/2*5,0+(6,9+11,3)/2*3,0+(11,3+7,6)/2*5,0</t>
  </si>
  <si>
    <t>Poplatek za skládku suti - běžné stavební hmoty</t>
  </si>
  <si>
    <t>stávající krov - odhad:</t>
  </si>
  <si>
    <t>S2:   2x170/150:   (0,17+0,15*2)*2*5,0*7</t>
  </si>
  <si>
    <t>S2:   170/170:   0,17*4*2,5*7*2</t>
  </si>
  <si>
    <t>S2:   170/280:   (0,17+0,28)*2*10,3*7*2</t>
  </si>
  <si>
    <t>S2:   170/200:   (0,17+0,2)*2*10,3/2*2*7*2</t>
  </si>
  <si>
    <t>S2:   170/230:   (0,17+0,23)*2*7*(4,82+4,1*2+4,988)</t>
  </si>
  <si>
    <t>S1:   170/170:   0,17*4*(11,5+7,5)*2*2,5</t>
  </si>
  <si>
    <t>S1 laťování:   ((1,7+3,6)/2*5,0+3,6*9,4/2+3,3*4,4/2*2+(2,7+11,8)/2*6,2+(11,8+8,2)/2*5,0+(6,9+11,3)/2*3,0+(11,3+7,6)/2*5,0)*2*((0,03+0,05)*2*4,7619047619047619047619047619048+0,05*4*1,0)</t>
  </si>
  <si>
    <t>S2 laťování:   (((25,8+32,0)/2+(32,0+29,8)/2)*10,3-(1,7+5,7)/2*5,3-(1,7+3,6)/2*5,0-3,6*9,4/2)*2*((0,03+0,05)*2*4,7619047619047619047619047619048+0,05*4*1,0)</t>
  </si>
  <si>
    <t>S1 bednění:   ((1,7+3,6)/2*5,0+3,6*9,4/2+3,3*4,4/2*2+(2,7+11,8)/2*6,2+(11,8+8,2)/2*5,0+(6,9+11,3)/2*3,0+(11,3+7,6)/2*5,0)*2</t>
  </si>
  <si>
    <t>S2 bednění:   (((25,8+32,0)/2+(32,0+29,8)/2)*10,3-(1,7+5,7)/2*5,3-(1,7+3,6)/2*5,0-3,6*9,4/2)*2</t>
  </si>
  <si>
    <t>S3 bednění:   (1,95*7,0+4,5*6,4/2)*2</t>
  </si>
  <si>
    <t>zhlaví trámů plných vazeb:   7*2+4</t>
  </si>
  <si>
    <t>zhlaví trámů plných vazeb:   0,3*0,2*(7*2+4)</t>
  </si>
  <si>
    <t>zhlaví stropních trámů (odhad, není v PD):   0,3*0,2*(10*2+8*2)</t>
  </si>
  <si>
    <t>6</t>
  </si>
  <si>
    <t>Úpravy povrchů</t>
  </si>
  <si>
    <t>612325221U00</t>
  </si>
  <si>
    <t>Vápenocementová štuková omítka malých ploch do 0,09 m2 na stěnách</t>
  </si>
  <si>
    <t>R900 001</t>
  </si>
  <si>
    <t>Sondy do konstrukcí půdních vestaveb a
upravených částí střechy</t>
  </si>
  <si>
    <t>kpl</t>
  </si>
  <si>
    <t>Elektro - hromosvod</t>
  </si>
  <si>
    <t>Demontáž a ekologická likvidace stávající jímací soustavy objektu</t>
  </si>
  <si>
    <t>hod</t>
  </si>
  <si>
    <t>Dodávka a montáž hromosvodu střechy - drát Cu Ć8 vč. podpěr a upevňovacího materiálu - odhad</t>
  </si>
  <si>
    <t>210</t>
  </si>
  <si>
    <t>R210 001</t>
  </si>
  <si>
    <t>R210 002</t>
  </si>
  <si>
    <t>764</t>
  </si>
  <si>
    <t>Klempířské konstrukce</t>
  </si>
  <si>
    <t>998764203R00</t>
  </si>
  <si>
    <t>Přesun hmot pro klempířské konstr., výšky do 24 m</t>
  </si>
  <si>
    <t>Přesun hmot</t>
  </si>
  <si>
    <t>Obnažení zhlaví trámů, očištění nebo osekání dřeva, ošetření proti plísni, zazdívka</t>
  </si>
  <si>
    <t>R762 001</t>
  </si>
  <si>
    <t>R762 002</t>
  </si>
  <si>
    <t>zhlaví stropních trámů (odhad, není v PD):</t>
  </si>
  <si>
    <t>Sanace krovových prvků - odstranění napadeného dřeva, ošetření proti plísním - hlavní střecha nad sálem</t>
  </si>
  <si>
    <t>Sanace krovových prvků - odstranění napadeného dřeva, ošetření proti plísním - přední střecha do ulice nad administrativní částí</t>
  </si>
  <si>
    <t>výměna nebo příložkování - hlavní střecha nad sálem</t>
  </si>
  <si>
    <t>výměna nebo příložkování - přední střecha do ulice nad administrativní částí</t>
  </si>
  <si>
    <t>Demontáž oplechování okapů, TK, rš 660 mm, do 45°</t>
  </si>
  <si>
    <t>764322851R00</t>
  </si>
  <si>
    <t>764311821R00</t>
  </si>
  <si>
    <t>Demontáž krytiny, tabule 2 x 1 m, do 25 m2, do 30°</t>
  </si>
  <si>
    <t>Demontáž oplechování zdí,rš od 330 do 500 mm</t>
  </si>
  <si>
    <t>764352800R00</t>
  </si>
  <si>
    <t>Demontáž žlabů půlkruh. rovných, rš 250 mm, do 30°</t>
  </si>
  <si>
    <t>764362810R00</t>
  </si>
  <si>
    <t>Demontáž střešního okna, hladká krytina, do 30°</t>
  </si>
  <si>
    <t>ks</t>
  </si>
  <si>
    <t>764391840R00</t>
  </si>
  <si>
    <t>Demontáž závětrné lišty, rš 400 a 500 mm, do 30°</t>
  </si>
  <si>
    <t>764454801R00</t>
  </si>
  <si>
    <t>Demontáž odpadních trub kruhových,D 75 a 100 mm</t>
  </si>
  <si>
    <t>764392842R00</t>
  </si>
  <si>
    <t>Demontáž úžlabí, rš 500 mm, sklon nad 45°</t>
  </si>
  <si>
    <t>Demontáž hřebene střechy, rš do 400 mm, nad 45°</t>
  </si>
  <si>
    <t>764211401R00</t>
  </si>
  <si>
    <t>Krytina hladká z Ti Zn tabulí 2 x 1 m, do 30°</t>
  </si>
  <si>
    <t>764222450R00</t>
  </si>
  <si>
    <t>Oplechování okapů Ti Zn, tvrdá krytina, rš 660 mm</t>
  </si>
  <si>
    <t>764252401R00</t>
  </si>
  <si>
    <t>Žlaby Ti Zn plech, podokapní půlkruhové, rš 250 mm</t>
  </si>
  <si>
    <t>764265420R00</t>
  </si>
  <si>
    <t>Střešní poklopy Ti Zn, krytina hladká, 60 x 60 cm</t>
  </si>
  <si>
    <t>764393832R00</t>
  </si>
  <si>
    <t>764291420R00</t>
  </si>
  <si>
    <t>Závětrná lišta z Ti Zn plechu, rš 330 mm</t>
  </si>
  <si>
    <t>764292461R00</t>
  </si>
  <si>
    <t>Úžlabí z Ti Zn plechu, rš 750 mm</t>
  </si>
  <si>
    <t>764293440R00</t>
  </si>
  <si>
    <t>Hřeben střechy z Ti Zn plechu, rš 500 mm</t>
  </si>
  <si>
    <t>764554402R00</t>
  </si>
  <si>
    <t>Odpadní trouby z Ti Zn plechu, kruhové, D 100 mm</t>
  </si>
  <si>
    <t>1:   27,5</t>
  </si>
  <si>
    <t>2:   6,2+5,0</t>
  </si>
  <si>
    <t>3:   3,0+5,0</t>
  </si>
  <si>
    <t>4:   11,8+11,3</t>
  </si>
  <si>
    <t>S2:   32,0</t>
  </si>
  <si>
    <t>5 mezi 2 a 3   odmocnina(power(3,6;2)+power(9,4;2))</t>
  </si>
  <si>
    <t>5 mezi 4 a 5   odmocnina(power(3,3;2)+power(4,4;2))</t>
  </si>
  <si>
    <t>5 mezi 6 a 7   odmocnina(power(3,3;2)+power(4,4;2))</t>
  </si>
  <si>
    <t>5 mezi 1 a 8   odmocnina(power((3,6-1,7);2)+power(5,0;2))</t>
  </si>
  <si>
    <t>mezi S2 a S3:   odmocnina(power(4,5;2)+power(6,4;2))</t>
  </si>
  <si>
    <t>6:   5,0+9,4</t>
  </si>
  <si>
    <t>764530460RT2</t>
  </si>
  <si>
    <t>Oplechování zdí z Ti Zn plechu, rš 750 mm    
nalepení Enkolitem</t>
  </si>
  <si>
    <t>764430850R00</t>
  </si>
  <si>
    <t>712348101RT3</t>
  </si>
  <si>
    <t xml:space="preserve">Komínek odvětrání kanalizace s manžetou z asf.pásu    
napojení trubky DN 110 mm </t>
  </si>
  <si>
    <t>7:   2</t>
  </si>
  <si>
    <t>R71234 001</t>
  </si>
  <si>
    <t>Komínek odvětrání kanalizace demontáž</t>
  </si>
  <si>
    <t>8:   odmocnina(power((32,0-25,8);2)+power(10,3;2))*2</t>
  </si>
  <si>
    <t>9:   (1,0+2,0)/2*4,2*1,2</t>
  </si>
  <si>
    <t>764239440R00</t>
  </si>
  <si>
    <t>Lemování z Ti Zn komínů, hladká krytina, v hřebeni</t>
  </si>
  <si>
    <t>764239460R00</t>
  </si>
  <si>
    <t>Lemování Ti Zn, sloupků komín. lávek, rš do 850 mm</t>
  </si>
  <si>
    <t>odhad</t>
  </si>
  <si>
    <t>764339840R00</t>
  </si>
  <si>
    <t>Demontáž lemování komínů v hřeb. hl. kryt, do 30°</t>
  </si>
  <si>
    <t>765312374R00</t>
  </si>
  <si>
    <t>Střešní lávka, rošt 800 x 250 mm</t>
  </si>
  <si>
    <t>4,3+9,2</t>
  </si>
  <si>
    <t>765314174R00</t>
  </si>
  <si>
    <t>Kovová stoupací plošina</t>
  </si>
  <si>
    <t>10 stupadla - odhad</t>
  </si>
  <si>
    <t>11:   9</t>
  </si>
  <si>
    <t>12:   2,5*0,8</t>
  </si>
  <si>
    <t>761</t>
  </si>
  <si>
    <t>Konstrukce sklobetonové</t>
  </si>
  <si>
    <t>998761203R00</t>
  </si>
  <si>
    <t>12:   2,8*1,8</t>
  </si>
  <si>
    <t>Přesun hmot pro sklobeton. konstr., výšky do 24 m</t>
  </si>
  <si>
    <t>962081141R00</t>
  </si>
  <si>
    <t>Bourání příček ze skleněných tvárnic tl. 15 cm</t>
  </si>
  <si>
    <t>13:   4,5</t>
  </si>
  <si>
    <t>14:   2,2*2,5</t>
  </si>
  <si>
    <t>odhad:   3*15,0</t>
  </si>
  <si>
    <t>Montážní kce</t>
  </si>
  <si>
    <t>Demontáž krytiny z AZC čtverců do suti, na bednění, s obsahem azbestu,</t>
  </si>
  <si>
    <t>76600051R00</t>
  </si>
  <si>
    <t>Atelierové střešní okno 280x180cm pevné zaslení, dod.+mont.</t>
  </si>
  <si>
    <t>R001</t>
  </si>
  <si>
    <t>Opatření na demontážní práce s azbestem 50% plochy krytiny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</si>
</sst>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\ &quot;Kč&quot;"/>
    <numFmt numFmtId="166" formatCode="dd/mm/yy"/>
    <numFmt numFmtId="167" formatCode="#,##0.00000"/>
  </numFmts>
  <fonts count="4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  <family val="2"/>
      <charset val="238"/>
    </font>
    <font>
      <sz val="8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i/>
      <sz val="8"/>
      <color rgb="FFFF0066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7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3" fillId="0" borderId="1" applyNumberFormat="0" applyFill="0" applyAlignment="0" applyProtection="0"/>
    <xf numFmtId="0" fontId="5" fillId="7" borderId="0" applyNumberFormat="0" applyBorder="0" applyAlignment="0" applyProtection="0"/>
    <xf numFmtId="0" fontId="6" fillId="8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/>
    <xf numFmtId="0" fontId="4" fillId="2" borderId="6" applyNumberFormat="0" applyFont="0" applyAlignment="0" applyProtection="0"/>
    <xf numFmtId="0" fontId="13" fillId="0" borderId="7" applyNumberFormat="0" applyFill="0" applyAlignment="0" applyProtection="0"/>
    <xf numFmtId="0" fontId="1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4" borderId="8" applyNumberFormat="0" applyAlignment="0" applyProtection="0"/>
    <xf numFmtId="0" fontId="16" fillId="9" borderId="8" applyNumberFormat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</cellStyleXfs>
  <cellXfs count="275">
    <xf numFmtId="0" fontId="0" fillId="0" borderId="0" xfId="0"/>
    <xf numFmtId="0" fontId="19" fillId="0" borderId="10" xfId="0" applyFont="1" applyBorder="1" applyAlignment="1">
      <alignment horizontal="centerContinuous" vertical="top"/>
    </xf>
    <xf numFmtId="0" fontId="0" fillId="0" borderId="10" xfId="0" applyBorder="1" applyAlignment="1">
      <alignment horizontal="centerContinuous"/>
    </xf>
    <xf numFmtId="0" fontId="1" fillId="14" borderId="11" xfId="0" applyFont="1" applyFill="1" applyBorder="1" applyAlignment="1">
      <alignment horizontal="left"/>
    </xf>
    <xf numFmtId="0" fontId="20" fillId="14" borderId="12" xfId="0" applyFont="1" applyFill="1" applyBorder="1" applyAlignment="1">
      <alignment horizontal="centerContinuous"/>
    </xf>
    <xf numFmtId="0" fontId="21" fillId="14" borderId="13" xfId="0" applyFont="1" applyFill="1" applyBorder="1" applyAlignment="1">
      <alignment horizontal="left"/>
    </xf>
    <xf numFmtId="0" fontId="20" fillId="0" borderId="14" xfId="0" applyFont="1" applyBorder="1"/>
    <xf numFmtId="49" fontId="20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20" fillId="0" borderId="17" xfId="0" applyFont="1" applyBorder="1"/>
    <xf numFmtId="0" fontId="20" fillId="0" borderId="18" xfId="0" applyFont="1" applyBorder="1"/>
    <xf numFmtId="0" fontId="20" fillId="0" borderId="19" xfId="0" applyFont="1" applyBorder="1"/>
    <xf numFmtId="0" fontId="20" fillId="0" borderId="20" xfId="0" applyFont="1" applyBorder="1" applyAlignment="1">
      <alignment horizontal="left"/>
    </xf>
    <xf numFmtId="0" fontId="1" fillId="0" borderId="16" xfId="0" applyFont="1" applyBorder="1"/>
    <xf numFmtId="49" fontId="20" fillId="0" borderId="20" xfId="0" applyNumberFormat="1" applyFont="1" applyBorder="1" applyAlignment="1">
      <alignment horizontal="left"/>
    </xf>
    <xf numFmtId="49" fontId="1" fillId="14" borderId="16" xfId="0" applyNumberFormat="1" applyFont="1" applyFill="1" applyBorder="1"/>
    <xf numFmtId="49" fontId="4" fillId="14" borderId="17" xfId="0" applyNumberFormat="1" applyFont="1" applyFill="1" applyBorder="1"/>
    <xf numFmtId="0" fontId="1" fillId="14" borderId="18" xfId="0" applyFont="1" applyFill="1" applyBorder="1"/>
    <xf numFmtId="0" fontId="4" fillId="14" borderId="18" xfId="0" applyFont="1" applyFill="1" applyBorder="1"/>
    <xf numFmtId="0" fontId="4" fillId="14" borderId="17" xfId="0" applyFont="1" applyFill="1" applyBorder="1"/>
    <xf numFmtId="0" fontId="20" fillId="0" borderId="19" xfId="0" applyFont="1" applyFill="1" applyBorder="1"/>
    <xf numFmtId="3" fontId="20" fillId="0" borderId="20" xfId="0" applyNumberFormat="1" applyFont="1" applyBorder="1" applyAlignment="1">
      <alignment horizontal="left"/>
    </xf>
    <xf numFmtId="0" fontId="0" fillId="0" borderId="0" xfId="0" applyFill="1"/>
    <xf numFmtId="49" fontId="1" fillId="14" borderId="21" xfId="0" applyNumberFormat="1" applyFont="1" applyFill="1" applyBorder="1"/>
    <xf numFmtId="49" fontId="4" fillId="14" borderId="22" xfId="0" applyNumberFormat="1" applyFont="1" applyFill="1" applyBorder="1"/>
    <xf numFmtId="0" fontId="1" fillId="14" borderId="0" xfId="0" applyFont="1" applyFill="1" applyBorder="1"/>
    <xf numFmtId="0" fontId="4" fillId="14" borderId="0" xfId="0" applyFont="1" applyFill="1" applyBorder="1"/>
    <xf numFmtId="49" fontId="20" fillId="0" borderId="19" xfId="0" applyNumberFormat="1" applyFont="1" applyBorder="1" applyAlignment="1">
      <alignment horizontal="left"/>
    </xf>
    <xf numFmtId="0" fontId="20" fillId="0" borderId="23" xfId="0" applyFont="1" applyBorder="1"/>
    <xf numFmtId="0" fontId="20" fillId="0" borderId="19" xfId="0" applyNumberFormat="1" applyFont="1" applyBorder="1"/>
    <xf numFmtId="0" fontId="20" fillId="0" borderId="24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20" fillId="0" borderId="24" xfId="0" applyFont="1" applyBorder="1" applyAlignment="1">
      <alignment horizontal="left"/>
    </xf>
    <xf numFmtId="0" fontId="0" fillId="0" borderId="0" xfId="0" applyBorder="1"/>
    <xf numFmtId="0" fontId="20" fillId="0" borderId="19" xfId="0" applyFont="1" applyFill="1" applyBorder="1" applyAlignment="1"/>
    <xf numFmtId="0" fontId="20" fillId="0" borderId="24" xfId="0" applyFont="1" applyFill="1" applyBorder="1" applyAlignment="1"/>
    <xf numFmtId="0" fontId="4" fillId="0" borderId="0" xfId="0" applyFont="1" applyFill="1" applyBorder="1" applyAlignment="1"/>
    <xf numFmtId="0" fontId="20" fillId="0" borderId="19" xfId="0" applyFont="1" applyBorder="1" applyAlignment="1"/>
    <xf numFmtId="0" fontId="20" fillId="0" borderId="24" xfId="0" applyFont="1" applyBorder="1" applyAlignment="1"/>
    <xf numFmtId="3" fontId="0" fillId="0" borderId="0" xfId="0" applyNumberFormat="1"/>
    <xf numFmtId="0" fontId="20" fillId="0" borderId="16" xfId="0" applyFont="1" applyBorder="1"/>
    <xf numFmtId="0" fontId="20" fillId="0" borderId="14" xfId="0" applyFont="1" applyBorder="1" applyAlignment="1">
      <alignment horizontal="left"/>
    </xf>
    <xf numFmtId="0" fontId="20" fillId="0" borderId="25" xfId="0" applyFont="1" applyBorder="1" applyAlignment="1">
      <alignment horizontal="left"/>
    </xf>
    <xf numFmtId="0" fontId="19" fillId="0" borderId="26" xfId="0" applyFont="1" applyBorder="1" applyAlignment="1">
      <alignment horizontal="centerContinuous" vertical="center"/>
    </xf>
    <xf numFmtId="0" fontId="22" fillId="0" borderId="27" xfId="0" applyFont="1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0" fillId="0" borderId="28" xfId="0" applyBorder="1" applyAlignment="1">
      <alignment horizontal="centerContinuous" vertical="center"/>
    </xf>
    <xf numFmtId="0" fontId="23" fillId="14" borderId="29" xfId="0" applyFont="1" applyFill="1" applyBorder="1" applyAlignment="1">
      <alignment horizontal="left"/>
    </xf>
    <xf numFmtId="0" fontId="0" fillId="14" borderId="30" xfId="0" applyFill="1" applyBorder="1" applyAlignment="1">
      <alignment horizontal="left"/>
    </xf>
    <xf numFmtId="0" fontId="0" fillId="14" borderId="31" xfId="0" applyFill="1" applyBorder="1" applyAlignment="1">
      <alignment horizontal="centerContinuous"/>
    </xf>
    <xf numFmtId="0" fontId="23" fillId="14" borderId="30" xfId="0" applyFont="1" applyFill="1" applyBorder="1" applyAlignment="1">
      <alignment horizontal="centerContinuous"/>
    </xf>
    <xf numFmtId="0" fontId="0" fillId="14" borderId="30" xfId="0" applyFill="1" applyBorder="1" applyAlignment="1">
      <alignment horizontal="centerContinuous"/>
    </xf>
    <xf numFmtId="0" fontId="0" fillId="0" borderId="32" xfId="0" applyBorder="1"/>
    <xf numFmtId="0" fontId="0" fillId="0" borderId="33" xfId="0" applyBorder="1"/>
    <xf numFmtId="3" fontId="0" fillId="0" borderId="15" xfId="0" applyNumberFormat="1" applyBorder="1"/>
    <xf numFmtId="0" fontId="0" fillId="0" borderId="11" xfId="0" applyBorder="1"/>
    <xf numFmtId="3" fontId="0" fillId="0" borderId="13" xfId="0" applyNumberFormat="1" applyBorder="1"/>
    <xf numFmtId="0" fontId="0" fillId="0" borderId="12" xfId="0" applyBorder="1"/>
    <xf numFmtId="0" fontId="0" fillId="0" borderId="16" xfId="0" applyBorder="1"/>
    <xf numFmtId="3" fontId="0" fillId="0" borderId="18" xfId="0" applyNumberFormat="1" applyBorder="1"/>
    <xf numFmtId="0" fontId="0" fillId="0" borderId="17" xfId="0" applyBorder="1"/>
    <xf numFmtId="0" fontId="0" fillId="0" borderId="34" xfId="0" applyBorder="1"/>
    <xf numFmtId="0" fontId="0" fillId="0" borderId="33" xfId="0" applyBorder="1" applyAlignment="1">
      <alignment shrinkToFit="1"/>
    </xf>
    <xf numFmtId="0" fontId="0" fillId="0" borderId="35" xfId="0" applyBorder="1"/>
    <xf numFmtId="0" fontId="24" fillId="0" borderId="16" xfId="0" applyFont="1" applyBorder="1"/>
    <xf numFmtId="0" fontId="0" fillId="0" borderId="21" xfId="0" applyBorder="1"/>
    <xf numFmtId="3" fontId="0" fillId="0" borderId="36" xfId="0" applyNumberFormat="1" applyBorder="1"/>
    <xf numFmtId="0" fontId="0" fillId="0" borderId="37" xfId="0" applyBorder="1"/>
    <xf numFmtId="3" fontId="0" fillId="0" borderId="38" xfId="0" applyNumberFormat="1" applyBorder="1"/>
    <xf numFmtId="0" fontId="0" fillId="0" borderId="39" xfId="0" applyBorder="1"/>
    <xf numFmtId="0" fontId="1" fillId="14" borderId="11" xfId="0" applyFont="1" applyFill="1" applyBorder="1"/>
    <xf numFmtId="0" fontId="1" fillId="14" borderId="13" xfId="0" applyFont="1" applyFill="1" applyBorder="1"/>
    <xf numFmtId="0" fontId="1" fillId="14" borderId="12" xfId="0" applyFont="1" applyFill="1" applyBorder="1"/>
    <xf numFmtId="0" fontId="1" fillId="14" borderId="40" xfId="0" applyFont="1" applyFill="1" applyBorder="1"/>
    <xf numFmtId="0" fontId="1" fillId="14" borderId="41" xfId="0" applyFont="1" applyFill="1" applyBorder="1"/>
    <xf numFmtId="0" fontId="0" fillId="0" borderId="22" xfId="0" applyBorder="1"/>
    <xf numFmtId="0" fontId="0" fillId="0" borderId="42" xfId="0" applyBorder="1"/>
    <xf numFmtId="0" fontId="0" fillId="0" borderId="43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0" fillId="0" borderId="0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4" fontId="0" fillId="0" borderId="48" xfId="0" applyNumberFormat="1" applyBorder="1" applyAlignment="1">
      <alignment horizontal="right"/>
    </xf>
    <xf numFmtId="0" fontId="0" fillId="0" borderId="48" xfId="0" applyBorder="1"/>
    <xf numFmtId="0" fontId="0" fillId="0" borderId="18" xfId="0" applyBorder="1"/>
    <xf numFmtId="164" fontId="0" fillId="0" borderId="17" xfId="0" applyNumberFormat="1" applyBorder="1" applyAlignment="1">
      <alignment horizontal="right"/>
    </xf>
    <xf numFmtId="0" fontId="22" fillId="14" borderId="37" xfId="0" applyFont="1" applyFill="1" applyBorder="1"/>
    <xf numFmtId="0" fontId="22" fillId="14" borderId="38" xfId="0" applyFont="1" applyFill="1" applyBorder="1"/>
    <xf numFmtId="0" fontId="22" fillId="14" borderId="39" xfId="0" applyFont="1" applyFill="1" applyBorder="1"/>
    <xf numFmtId="0" fontId="22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12" fillId="0" borderId="0" xfId="10" applyAlignment="1">
      <alignment vertical="center"/>
    </xf>
    <xf numFmtId="0" fontId="29" fillId="0" borderId="0" xfId="10" applyFont="1" applyAlignment="1">
      <alignment horizontal="right" vertical="center"/>
    </xf>
    <xf numFmtId="0" fontId="1" fillId="0" borderId="49" xfId="10" applyFont="1" applyBorder="1" applyAlignment="1">
      <alignment vertical="center"/>
    </xf>
    <xf numFmtId="0" fontId="12" fillId="0" borderId="49" xfId="10" applyBorder="1" applyAlignment="1">
      <alignment vertical="center"/>
    </xf>
    <xf numFmtId="0" fontId="26" fillId="0" borderId="50" xfId="10" applyFont="1" applyBorder="1" applyAlignment="1">
      <alignment horizontal="right" vertical="center"/>
    </xf>
    <xf numFmtId="0" fontId="12" fillId="0" borderId="49" xfId="10" applyBorder="1" applyAlignment="1">
      <alignment horizontal="left" vertical="center"/>
    </xf>
    <xf numFmtId="0" fontId="12" fillId="0" borderId="51" xfId="10" applyBorder="1" applyAlignment="1">
      <alignment vertical="center"/>
    </xf>
    <xf numFmtId="0" fontId="1" fillId="0" borderId="52" xfId="10" applyFont="1" applyBorder="1" applyAlignment="1">
      <alignment vertical="center"/>
    </xf>
    <xf numFmtId="0" fontId="12" fillId="0" borderId="52" xfId="10" applyBorder="1" applyAlignment="1">
      <alignment vertical="center"/>
    </xf>
    <xf numFmtId="0" fontId="26" fillId="0" borderId="0" xfId="10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10" applyAlignment="1">
      <alignment horizontal="right" vertical="center"/>
    </xf>
    <xf numFmtId="49" fontId="30" fillId="14" borderId="19" xfId="10" applyNumberFormat="1" applyFont="1" applyFill="1" applyBorder="1" applyAlignment="1">
      <alignment vertical="center"/>
    </xf>
    <xf numFmtId="0" fontId="30" fillId="14" borderId="17" xfId="10" applyFont="1" applyFill="1" applyBorder="1" applyAlignment="1">
      <alignment horizontal="center" vertical="center"/>
    </xf>
    <xf numFmtId="0" fontId="30" fillId="14" borderId="17" xfId="10" applyNumberFormat="1" applyFont="1" applyFill="1" applyBorder="1" applyAlignment="1">
      <alignment horizontal="center" vertical="center"/>
    </xf>
    <xf numFmtId="0" fontId="30" fillId="14" borderId="19" xfId="10" applyFont="1" applyFill="1" applyBorder="1" applyAlignment="1">
      <alignment horizontal="center" vertical="center"/>
    </xf>
    <xf numFmtId="0" fontId="31" fillId="14" borderId="19" xfId="10" applyFont="1" applyFill="1" applyBorder="1" applyAlignment="1">
      <alignment horizontal="center" vertical="center" wrapText="1"/>
    </xf>
    <xf numFmtId="0" fontId="23" fillId="0" borderId="58" xfId="10" applyFont="1" applyBorder="1" applyAlignment="1">
      <alignment horizontal="center" vertical="center"/>
    </xf>
    <xf numFmtId="49" fontId="23" fillId="0" borderId="58" xfId="10" applyNumberFormat="1" applyFont="1" applyBorder="1" applyAlignment="1">
      <alignment horizontal="left" vertical="center"/>
    </xf>
    <xf numFmtId="0" fontId="23" fillId="0" borderId="60" xfId="10" applyFont="1" applyBorder="1" applyAlignment="1">
      <alignment vertical="center"/>
    </xf>
    <xf numFmtId="0" fontId="12" fillId="0" borderId="18" xfId="10" applyBorder="1" applyAlignment="1">
      <alignment horizontal="center" vertical="center"/>
    </xf>
    <xf numFmtId="0" fontId="12" fillId="0" borderId="18" xfId="10" applyNumberFormat="1" applyBorder="1" applyAlignment="1">
      <alignment horizontal="right" vertical="center"/>
    </xf>
    <xf numFmtId="0" fontId="12" fillId="0" borderId="18" xfId="10" applyNumberFormat="1" applyBorder="1" applyAlignment="1">
      <alignment vertical="center"/>
    </xf>
    <xf numFmtId="0" fontId="25" fillId="0" borderId="18" xfId="10" applyNumberFormat="1" applyFont="1" applyBorder="1" applyAlignment="1">
      <alignment vertical="center"/>
    </xf>
    <xf numFmtId="0" fontId="25" fillId="0" borderId="17" xfId="10" applyNumberFormat="1" applyFont="1" applyBorder="1" applyAlignment="1">
      <alignment vertical="center"/>
    </xf>
    <xf numFmtId="0" fontId="25" fillId="0" borderId="61" xfId="10" applyFont="1" applyBorder="1" applyAlignment="1">
      <alignment horizontal="center" vertical="center"/>
    </xf>
    <xf numFmtId="49" fontId="25" fillId="0" borderId="61" xfId="10" applyNumberFormat="1" applyFont="1" applyBorder="1" applyAlignment="1">
      <alignment horizontal="left" vertical="center"/>
    </xf>
    <xf numFmtId="0" fontId="25" fillId="0" borderId="61" xfId="10" applyFont="1" applyBorder="1" applyAlignment="1">
      <alignment vertical="center" wrapText="1"/>
    </xf>
    <xf numFmtId="49" fontId="31" fillId="0" borderId="61" xfId="10" applyNumberFormat="1" applyFont="1" applyBorder="1" applyAlignment="1">
      <alignment horizontal="center" vertical="center" shrinkToFit="1"/>
    </xf>
    <xf numFmtId="4" fontId="31" fillId="0" borderId="61" xfId="10" applyNumberFormat="1" applyFont="1" applyBorder="1" applyAlignment="1">
      <alignment horizontal="right" vertical="center"/>
    </xf>
    <xf numFmtId="4" fontId="31" fillId="0" borderId="61" xfId="10" applyNumberFormat="1" applyFont="1" applyBorder="1" applyAlignment="1">
      <alignment vertical="center"/>
    </xf>
    <xf numFmtId="167" fontId="25" fillId="0" borderId="61" xfId="10" applyNumberFormat="1" applyFont="1" applyBorder="1" applyAlignment="1">
      <alignment vertical="center"/>
    </xf>
    <xf numFmtId="0" fontId="26" fillId="0" borderId="58" xfId="10" applyFont="1" applyBorder="1" applyAlignment="1">
      <alignment horizontal="center" vertical="center"/>
    </xf>
    <xf numFmtId="49" fontId="26" fillId="0" borderId="58" xfId="10" applyNumberFormat="1" applyFont="1" applyBorder="1" applyAlignment="1">
      <alignment horizontal="left" vertical="center"/>
    </xf>
    <xf numFmtId="0" fontId="25" fillId="0" borderId="58" xfId="10" applyFont="1" applyBorder="1" applyAlignment="1">
      <alignment vertical="center"/>
    </xf>
    <xf numFmtId="0" fontId="12" fillId="14" borderId="19" xfId="10" applyFill="1" applyBorder="1" applyAlignment="1">
      <alignment horizontal="center" vertical="center"/>
    </xf>
    <xf numFmtId="49" fontId="34" fillId="14" borderId="19" xfId="10" applyNumberFormat="1" applyFont="1" applyFill="1" applyBorder="1" applyAlignment="1">
      <alignment horizontal="left" vertical="center"/>
    </xf>
    <xf numFmtId="0" fontId="34" fillId="14" borderId="60" xfId="10" applyFont="1" applyFill="1" applyBorder="1" applyAlignment="1">
      <alignment vertical="center"/>
    </xf>
    <xf numFmtId="0" fontId="12" fillId="14" borderId="18" xfId="10" applyFill="1" applyBorder="1" applyAlignment="1">
      <alignment horizontal="center" vertical="center"/>
    </xf>
    <xf numFmtId="4" fontId="12" fillId="14" borderId="18" xfId="10" applyNumberFormat="1" applyFill="1" applyBorder="1" applyAlignment="1">
      <alignment horizontal="right" vertical="center"/>
    </xf>
    <xf numFmtId="4" fontId="12" fillId="14" borderId="17" xfId="10" applyNumberFormat="1" applyFill="1" applyBorder="1" applyAlignment="1">
      <alignment horizontal="right" vertical="center"/>
    </xf>
    <xf numFmtId="4" fontId="23" fillId="14" borderId="19" xfId="10" applyNumberFormat="1" applyFont="1" applyFill="1" applyBorder="1" applyAlignment="1">
      <alignment vertical="center"/>
    </xf>
    <xf numFmtId="0" fontId="35" fillId="14" borderId="19" xfId="10" applyFont="1" applyFill="1" applyBorder="1" applyAlignment="1">
      <alignment vertical="center"/>
    </xf>
    <xf numFmtId="167" fontId="35" fillId="14" borderId="19" xfId="10" applyNumberFormat="1" applyFont="1" applyFill="1" applyBorder="1" applyAlignment="1">
      <alignment vertical="center"/>
    </xf>
    <xf numFmtId="4" fontId="31" fillId="0" borderId="61" xfId="10" applyNumberFormat="1" applyFont="1" applyFill="1" applyBorder="1" applyAlignment="1">
      <alignment horizontal="right" vertical="center"/>
    </xf>
    <xf numFmtId="4" fontId="32" fillId="15" borderId="62" xfId="10" applyNumberFormat="1" applyFont="1" applyFill="1" applyBorder="1" applyAlignment="1">
      <alignment horizontal="right" vertical="center" wrapText="1"/>
    </xf>
    <xf numFmtId="0" fontId="32" fillId="15" borderId="42" xfId="1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right" vertical="center"/>
    </xf>
    <xf numFmtId="0" fontId="12" fillId="0" borderId="0" xfId="10" applyBorder="1" applyAlignment="1">
      <alignment vertical="center"/>
    </xf>
    <xf numFmtId="0" fontId="12" fillId="0" borderId="22" xfId="10" applyBorder="1" applyAlignment="1">
      <alignment vertical="center"/>
    </xf>
    <xf numFmtId="0" fontId="36" fillId="0" borderId="0" xfId="10" applyFont="1" applyAlignment="1">
      <alignment vertical="center"/>
    </xf>
    <xf numFmtId="0" fontId="37" fillId="0" borderId="0" xfId="10" applyFont="1" applyBorder="1" applyAlignment="1">
      <alignment vertical="center"/>
    </xf>
    <xf numFmtId="3" fontId="37" fillId="0" borderId="0" xfId="10" applyNumberFormat="1" applyFont="1" applyBorder="1" applyAlignment="1">
      <alignment horizontal="right" vertical="center"/>
    </xf>
    <xf numFmtId="4" fontId="37" fillId="0" borderId="0" xfId="10" applyNumberFormat="1" applyFont="1" applyBorder="1" applyAlignment="1">
      <alignment vertical="center"/>
    </xf>
    <xf numFmtId="0" fontId="36" fillId="0" borderId="0" xfId="10" applyFont="1" applyBorder="1" applyAlignment="1">
      <alignment vertical="center"/>
    </xf>
    <xf numFmtId="0" fontId="12" fillId="0" borderId="0" xfId="10" applyBorder="1" applyAlignment="1">
      <alignment horizontal="right" vertical="center"/>
    </xf>
    <xf numFmtId="49" fontId="32" fillId="15" borderId="63" xfId="10" applyNumberFormat="1" applyFont="1" applyFill="1" applyBorder="1" applyAlignment="1">
      <alignment horizontal="left" vertical="center" wrapText="1"/>
    </xf>
    <xf numFmtId="49" fontId="33" fillId="0" borderId="64" xfId="0" applyNumberFormat="1" applyFont="1" applyBorder="1" applyAlignment="1">
      <alignment horizontal="left" vertical="center" wrapText="1"/>
    </xf>
    <xf numFmtId="0" fontId="27" fillId="0" borderId="0" xfId="10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9" fillId="0" borderId="0" xfId="10" applyFont="1" applyAlignment="1">
      <alignment horizontal="center" vertical="center"/>
    </xf>
    <xf numFmtId="0" fontId="12" fillId="0" borderId="66" xfId="10" applyFont="1" applyBorder="1" applyAlignment="1">
      <alignment horizontal="center" vertical="center"/>
    </xf>
    <xf numFmtId="0" fontId="12" fillId="0" borderId="68" xfId="10" applyFont="1" applyBorder="1" applyAlignment="1">
      <alignment horizontal="center" vertical="center"/>
    </xf>
    <xf numFmtId="0" fontId="12" fillId="0" borderId="69" xfId="10" applyBorder="1" applyAlignment="1">
      <alignment horizontal="center" vertical="center" shrinkToFit="1"/>
    </xf>
    <xf numFmtId="0" fontId="12" fillId="0" borderId="52" xfId="10" applyBorder="1" applyAlignment="1">
      <alignment horizontal="center" vertical="center" shrinkToFit="1"/>
    </xf>
    <xf numFmtId="0" fontId="12" fillId="0" borderId="70" xfId="10" applyBorder="1" applyAlignment="1">
      <alignment horizontal="center" vertical="center" shrinkToFit="1"/>
    </xf>
    <xf numFmtId="0" fontId="38" fillId="15" borderId="42" xfId="10" applyNumberFormat="1" applyFont="1" applyFill="1" applyBorder="1" applyAlignment="1">
      <alignment horizontal="left" vertical="center" wrapText="1"/>
    </xf>
    <xf numFmtId="0" fontId="39" fillId="0" borderId="0" xfId="0" applyNumberFormat="1" applyFont="1" applyAlignment="1">
      <alignment vertical="center"/>
    </xf>
    <xf numFmtId="0" fontId="39" fillId="0" borderId="22" xfId="0" applyNumberFormat="1" applyFont="1" applyBorder="1" applyAlignment="1">
      <alignment vertical="center"/>
    </xf>
    <xf numFmtId="0" fontId="12" fillId="0" borderId="0" xfId="10" applyFill="1" applyAlignment="1">
      <alignment vertical="center"/>
    </xf>
    <xf numFmtId="0" fontId="25" fillId="0" borderId="61" xfId="10" applyFont="1" applyFill="1" applyBorder="1" applyAlignment="1">
      <alignment horizontal="center" vertical="center"/>
    </xf>
    <xf numFmtId="49" fontId="25" fillId="0" borderId="61" xfId="10" applyNumberFormat="1" applyFont="1" applyFill="1" applyBorder="1" applyAlignment="1">
      <alignment horizontal="left" vertical="center"/>
    </xf>
    <xf numFmtId="0" fontId="25" fillId="0" borderId="61" xfId="10" applyFont="1" applyFill="1" applyBorder="1" applyAlignment="1">
      <alignment vertical="center" wrapText="1"/>
    </xf>
    <xf numFmtId="49" fontId="31" fillId="0" borderId="61" xfId="10" applyNumberFormat="1" applyFont="1" applyFill="1" applyBorder="1" applyAlignment="1">
      <alignment horizontal="center" vertical="center" shrinkToFit="1"/>
    </xf>
    <xf numFmtId="4" fontId="31" fillId="0" borderId="61" xfId="10" applyNumberFormat="1" applyFont="1" applyFill="1" applyBorder="1" applyAlignment="1">
      <alignment vertical="center"/>
    </xf>
    <xf numFmtId="167" fontId="25" fillId="0" borderId="61" xfId="10" applyNumberFormat="1" applyFont="1" applyFill="1" applyBorder="1" applyAlignment="1">
      <alignment vertical="center"/>
    </xf>
    <xf numFmtId="0" fontId="26" fillId="0" borderId="58" xfId="10" applyFont="1" applyFill="1" applyBorder="1" applyAlignment="1">
      <alignment horizontal="center" vertical="center"/>
    </xf>
    <xf numFmtId="49" fontId="26" fillId="0" borderId="58" xfId="10" applyNumberFormat="1" applyFont="1" applyFill="1" applyBorder="1" applyAlignment="1">
      <alignment horizontal="left" vertical="center"/>
    </xf>
    <xf numFmtId="49" fontId="32" fillId="0" borderId="63" xfId="10" applyNumberFormat="1" applyFont="1" applyFill="1" applyBorder="1" applyAlignment="1">
      <alignment horizontal="left" vertical="center" wrapText="1"/>
    </xf>
    <xf numFmtId="49" fontId="33" fillId="0" borderId="64" xfId="0" applyNumberFormat="1" applyFont="1" applyFill="1" applyBorder="1" applyAlignment="1">
      <alignment horizontal="left" vertical="center" wrapText="1"/>
    </xf>
    <xf numFmtId="4" fontId="32" fillId="0" borderId="62" xfId="10" applyNumberFormat="1" applyFont="1" applyFill="1" applyBorder="1" applyAlignment="1">
      <alignment horizontal="right" vertical="center" wrapText="1"/>
    </xf>
    <xf numFmtId="0" fontId="32" fillId="0" borderId="42" xfId="1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right" vertical="center"/>
    </xf>
    <xf numFmtId="0" fontId="12" fillId="0" borderId="0" xfId="10" applyFill="1" applyBorder="1" applyAlignment="1">
      <alignment vertical="center"/>
    </xf>
    <xf numFmtId="0" fontId="12" fillId="0" borderId="22" xfId="10" applyFill="1" applyBorder="1" applyAlignment="1">
      <alignment vertical="center"/>
    </xf>
    <xf numFmtId="49" fontId="40" fillId="0" borderId="58" xfId="10" applyNumberFormat="1" applyFont="1" applyBorder="1" applyAlignment="1">
      <alignment horizontal="left" vertical="center"/>
    </xf>
    <xf numFmtId="49" fontId="25" fillId="0" borderId="61" xfId="10" applyNumberFormat="1" applyFont="1" applyFill="1" applyBorder="1" applyAlignment="1">
      <alignment horizontal="center" vertical="center" shrinkToFit="1"/>
    </xf>
    <xf numFmtId="0" fontId="1" fillId="0" borderId="60" xfId="10" applyFont="1" applyBorder="1" applyAlignment="1">
      <alignment vertical="center"/>
    </xf>
    <xf numFmtId="49" fontId="1" fillId="0" borderId="58" xfId="10" applyNumberFormat="1" applyFont="1" applyBorder="1" applyAlignment="1">
      <alignment horizontal="left" vertical="center"/>
    </xf>
    <xf numFmtId="0" fontId="12" fillId="0" borderId="49" xfId="10" applyBorder="1" applyAlignment="1">
      <alignment horizontal="right" vertical="center"/>
    </xf>
    <xf numFmtId="0" fontId="12" fillId="0" borderId="50" xfId="10" applyFont="1" applyBorder="1" applyAlignment="1">
      <alignment vertical="center"/>
    </xf>
    <xf numFmtId="0" fontId="0" fillId="0" borderId="49" xfId="0" applyNumberFormat="1" applyBorder="1" applyAlignment="1">
      <alignment horizontal="left" vertical="center"/>
    </xf>
    <xf numFmtId="0" fontId="0" fillId="0" borderId="51" xfId="0" applyNumberFormat="1" applyBorder="1" applyAlignment="1">
      <alignment vertical="center"/>
    </xf>
    <xf numFmtId="0" fontId="0" fillId="0" borderId="0" xfId="0" applyAlignment="1">
      <alignment vertical="center"/>
    </xf>
    <xf numFmtId="0" fontId="12" fillId="0" borderId="52" xfId="10" applyBorder="1" applyAlignment="1">
      <alignment horizontal="right" vertical="center"/>
    </xf>
    <xf numFmtId="0" fontId="0" fillId="0" borderId="0" xfId="0" applyBorder="1" applyAlignment="1">
      <alignment vertical="center"/>
    </xf>
    <xf numFmtId="49" fontId="19" fillId="0" borderId="0" xfId="0" applyNumberFormat="1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49" fontId="23" fillId="14" borderId="29" xfId="0" applyNumberFormat="1" applyFont="1" applyFill="1" applyBorder="1" applyAlignment="1">
      <alignment horizontal="center" vertical="center"/>
    </xf>
    <xf numFmtId="0" fontId="23" fillId="14" borderId="30" xfId="0" applyFont="1" applyFill="1" applyBorder="1" applyAlignment="1">
      <alignment horizontal="center" vertical="center"/>
    </xf>
    <xf numFmtId="0" fontId="23" fillId="14" borderId="31" xfId="0" applyFont="1" applyFill="1" applyBorder="1" applyAlignment="1">
      <alignment horizontal="center" vertical="center"/>
    </xf>
    <xf numFmtId="0" fontId="23" fillId="14" borderId="53" xfId="0" applyFont="1" applyFill="1" applyBorder="1" applyAlignment="1">
      <alignment horizontal="center" vertical="center"/>
    </xf>
    <xf numFmtId="0" fontId="23" fillId="14" borderId="54" xfId="0" applyFont="1" applyFill="1" applyBorder="1" applyAlignment="1">
      <alignment horizontal="center" vertical="center"/>
    </xf>
    <xf numFmtId="0" fontId="1" fillId="14" borderId="54" xfId="0" applyFont="1" applyFill="1" applyBorder="1" applyAlignment="1">
      <alignment horizontal="center" vertical="center" wrapText="1"/>
    </xf>
    <xf numFmtId="0" fontId="23" fillId="14" borderId="55" xfId="0" applyFont="1" applyFill="1" applyBorder="1" applyAlignment="1">
      <alignment horizontal="center" vertical="center"/>
    </xf>
    <xf numFmtId="49" fontId="26" fillId="0" borderId="21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3" fontId="24" fillId="0" borderId="43" xfId="0" applyNumberFormat="1" applyFont="1" applyBorder="1" applyAlignment="1">
      <alignment vertical="center"/>
    </xf>
    <xf numFmtId="3" fontId="24" fillId="0" borderId="22" xfId="0" applyNumberFormat="1" applyFont="1" applyBorder="1" applyAlignment="1">
      <alignment vertical="center"/>
    </xf>
    <xf numFmtId="3" fontId="24" fillId="0" borderId="58" xfId="0" applyNumberFormat="1" applyFont="1" applyBorder="1" applyAlignment="1">
      <alignment vertical="center"/>
    </xf>
    <xf numFmtId="3" fontId="24" fillId="0" borderId="59" xfId="0" applyNumberFormat="1" applyFont="1" applyBorder="1" applyAlignment="1">
      <alignment vertical="center"/>
    </xf>
    <xf numFmtId="49" fontId="20" fillId="0" borderId="21" xfId="0" applyNumberFormat="1" applyFont="1" applyBorder="1" applyAlignment="1">
      <alignment vertical="center"/>
    </xf>
    <xf numFmtId="0" fontId="23" fillId="14" borderId="29" xfId="0" applyFont="1" applyFill="1" applyBorder="1" applyAlignment="1">
      <alignment vertical="center"/>
    </xf>
    <xf numFmtId="0" fontId="23" fillId="14" borderId="30" xfId="0" applyFont="1" applyFill="1" applyBorder="1" applyAlignment="1">
      <alignment vertical="center"/>
    </xf>
    <xf numFmtId="3" fontId="23" fillId="14" borderId="31" xfId="0" applyNumberFormat="1" applyFont="1" applyFill="1" applyBorder="1" applyAlignment="1">
      <alignment vertical="center"/>
    </xf>
    <xf numFmtId="3" fontId="23" fillId="14" borderId="53" xfId="0" applyNumberFormat="1" applyFont="1" applyFill="1" applyBorder="1" applyAlignment="1">
      <alignment vertical="center"/>
    </xf>
    <xf numFmtId="3" fontId="23" fillId="14" borderId="54" xfId="0" applyNumberFormat="1" applyFont="1" applyFill="1" applyBorder="1" applyAlignment="1">
      <alignment vertical="center"/>
    </xf>
    <xf numFmtId="3" fontId="23" fillId="14" borderId="55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3" fontId="19" fillId="0" borderId="0" xfId="0" applyNumberFormat="1" applyFont="1" applyAlignment="1">
      <alignment horizontal="centerContinuous" vertical="center"/>
    </xf>
    <xf numFmtId="3" fontId="0" fillId="0" borderId="0" xfId="0" applyNumberFormat="1" applyAlignment="1">
      <alignment vertical="center"/>
    </xf>
    <xf numFmtId="0" fontId="1" fillId="14" borderId="11" xfId="0" applyFont="1" applyFill="1" applyBorder="1" applyAlignment="1">
      <alignment vertical="center"/>
    </xf>
    <xf numFmtId="0" fontId="1" fillId="14" borderId="13" xfId="0" applyFont="1" applyFill="1" applyBorder="1" applyAlignment="1">
      <alignment vertical="center"/>
    </xf>
    <xf numFmtId="0" fontId="0" fillId="14" borderId="41" xfId="0" applyFill="1" applyBorder="1" applyAlignment="1">
      <alignment vertical="center"/>
    </xf>
    <xf numFmtId="0" fontId="1" fillId="14" borderId="56" xfId="0" applyFont="1" applyFill="1" applyBorder="1" applyAlignment="1">
      <alignment horizontal="right" vertical="center"/>
    </xf>
    <xf numFmtId="0" fontId="1" fillId="14" borderId="13" xfId="0" applyFont="1" applyFill="1" applyBorder="1" applyAlignment="1">
      <alignment horizontal="right" vertical="center"/>
    </xf>
    <xf numFmtId="0" fontId="1" fillId="14" borderId="12" xfId="0" applyFont="1" applyFill="1" applyBorder="1" applyAlignment="1">
      <alignment horizontal="center" vertical="center"/>
    </xf>
    <xf numFmtId="4" fontId="21" fillId="14" borderId="13" xfId="0" applyNumberFormat="1" applyFont="1" applyFill="1" applyBorder="1" applyAlignment="1">
      <alignment horizontal="right" vertical="center"/>
    </xf>
    <xf numFmtId="4" fontId="21" fillId="14" borderId="41" xfId="0" applyNumberFormat="1" applyFont="1" applyFill="1" applyBorder="1" applyAlignment="1">
      <alignment horizontal="right" vertical="center"/>
    </xf>
    <xf numFmtId="0" fontId="24" fillId="0" borderId="35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3" fontId="24" fillId="0" borderId="34" xfId="0" applyNumberFormat="1" applyFont="1" applyBorder="1" applyAlignment="1">
      <alignment horizontal="right" vertical="center"/>
    </xf>
    <xf numFmtId="164" fontId="24" fillId="0" borderId="19" xfId="0" applyNumberFormat="1" applyFont="1" applyBorder="1" applyAlignment="1">
      <alignment horizontal="right" vertical="center"/>
    </xf>
    <xf numFmtId="3" fontId="24" fillId="0" borderId="44" xfId="0" applyNumberFormat="1" applyFont="1" applyBorder="1" applyAlignment="1">
      <alignment horizontal="right" vertical="center"/>
    </xf>
    <xf numFmtId="4" fontId="24" fillId="0" borderId="33" xfId="0" applyNumberFormat="1" applyFont="1" applyBorder="1" applyAlignment="1">
      <alignment horizontal="right" vertical="center"/>
    </xf>
    <xf numFmtId="3" fontId="24" fillId="0" borderId="25" xfId="0" applyNumberFormat="1" applyFont="1" applyBorder="1" applyAlignment="1">
      <alignment horizontal="right" vertical="center"/>
    </xf>
    <xf numFmtId="0" fontId="0" fillId="14" borderId="37" xfId="0" applyFill="1" applyBorder="1" applyAlignment="1">
      <alignment vertical="center"/>
    </xf>
    <xf numFmtId="0" fontId="23" fillId="14" borderId="38" xfId="0" applyFont="1" applyFill="1" applyBorder="1" applyAlignment="1">
      <alignment vertical="center"/>
    </xf>
    <xf numFmtId="0" fontId="0" fillId="14" borderId="38" xfId="0" applyFill="1" applyBorder="1" applyAlignment="1">
      <alignment vertical="center"/>
    </xf>
    <xf numFmtId="4" fontId="0" fillId="14" borderId="57" xfId="0" applyNumberFormat="1" applyFill="1" applyBorder="1" applyAlignment="1">
      <alignment vertical="center"/>
    </xf>
    <xf numFmtId="4" fontId="0" fillId="14" borderId="37" xfId="0" applyNumberFormat="1" applyFill="1" applyBorder="1" applyAlignment="1">
      <alignment vertical="center"/>
    </xf>
    <xf numFmtId="4" fontId="0" fillId="14" borderId="38" xfId="0" applyNumberFormat="1" applyFill="1" applyBorder="1" applyAlignment="1">
      <alignment vertical="center"/>
    </xf>
    <xf numFmtId="3" fontId="26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25" fillId="0" borderId="72" xfId="10" applyFont="1" applyBorder="1" applyAlignment="1">
      <alignment vertical="center" wrapText="1"/>
    </xf>
    <xf numFmtId="49" fontId="31" fillId="0" borderId="47" xfId="10" applyNumberFormat="1" applyFont="1" applyBorder="1" applyAlignment="1">
      <alignment horizontal="center" vertical="center" shrinkToFit="1"/>
    </xf>
    <xf numFmtId="4" fontId="31" fillId="0" borderId="47" xfId="10" applyNumberFormat="1" applyFont="1" applyBorder="1" applyAlignment="1">
      <alignment horizontal="right" vertical="center"/>
    </xf>
    <xf numFmtId="4" fontId="31" fillId="0" borderId="48" xfId="10" applyNumberFormat="1" applyFont="1" applyFill="1" applyBorder="1" applyAlignment="1">
      <alignment horizontal="right" vertical="center"/>
    </xf>
    <xf numFmtId="49" fontId="32" fillId="15" borderId="42" xfId="10" applyNumberFormat="1" applyFont="1" applyFill="1" applyBorder="1" applyAlignment="1">
      <alignment horizontal="left" vertical="center" wrapText="1"/>
    </xf>
    <xf numFmtId="49" fontId="33" fillId="0" borderId="0" xfId="0" applyNumberFormat="1" applyFont="1" applyBorder="1" applyAlignment="1">
      <alignment horizontal="left" vertical="center" wrapText="1"/>
    </xf>
    <xf numFmtId="4" fontId="32" fillId="15" borderId="58" xfId="10" applyNumberFormat="1" applyFont="1" applyFill="1" applyBorder="1" applyAlignment="1">
      <alignment horizontal="right" vertical="center" wrapText="1"/>
    </xf>
    <xf numFmtId="49" fontId="20" fillId="0" borderId="58" xfId="10" applyNumberFormat="1" applyFont="1" applyBorder="1" applyAlignment="1">
      <alignment horizontal="left" vertical="center"/>
    </xf>
    <xf numFmtId="4" fontId="25" fillId="15" borderId="42" xfId="10" applyNumberFormat="1" applyFont="1" applyFill="1" applyBorder="1" applyAlignment="1">
      <alignment horizontal="right" vertical="center" wrapText="1"/>
    </xf>
    <xf numFmtId="0" fontId="27" fillId="0" borderId="0" xfId="10" applyFont="1" applyAlignment="1">
      <alignment horizontal="left" vertical="center"/>
    </xf>
    <xf numFmtId="0" fontId="12" fillId="0" borderId="65" xfId="10" applyFont="1" applyBorder="1" applyAlignment="1">
      <alignment horizontal="left" vertical="center"/>
    </xf>
    <xf numFmtId="49" fontId="12" fillId="0" borderId="67" xfId="1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0" fillId="0" borderId="19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0" fontId="0" fillId="0" borderId="37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165" fontId="0" fillId="0" borderId="60" xfId="0" applyNumberFormat="1" applyBorder="1" applyAlignment="1">
      <alignment horizontal="right" indent="2"/>
    </xf>
    <xf numFmtId="165" fontId="0" fillId="0" borderId="24" xfId="0" applyNumberFormat="1" applyBorder="1" applyAlignment="1">
      <alignment horizontal="right" indent="2"/>
    </xf>
    <xf numFmtId="165" fontId="22" fillId="14" borderId="71" xfId="0" applyNumberFormat="1" applyFont="1" applyFill="1" applyBorder="1" applyAlignment="1">
      <alignment horizontal="right" indent="2"/>
    </xf>
    <xf numFmtId="165" fontId="22" fillId="14" borderId="57" xfId="0" applyNumberFormat="1" applyFont="1" applyFill="1" applyBorder="1" applyAlignment="1">
      <alignment horizontal="right" indent="2"/>
    </xf>
    <xf numFmtId="3" fontId="23" fillId="14" borderId="38" xfId="0" applyNumberFormat="1" applyFont="1" applyFill="1" applyBorder="1" applyAlignment="1">
      <alignment horizontal="right" vertical="center"/>
    </xf>
    <xf numFmtId="3" fontId="23" fillId="14" borderId="57" xfId="0" applyNumberFormat="1" applyFont="1" applyFill="1" applyBorder="1" applyAlignment="1">
      <alignment horizontal="right" vertical="center"/>
    </xf>
    <xf numFmtId="0" fontId="12" fillId="0" borderId="65" xfId="10" applyFont="1" applyBorder="1" applyAlignment="1">
      <alignment horizontal="center" vertical="center"/>
    </xf>
    <xf numFmtId="0" fontId="12" fillId="0" borderId="66" xfId="10" applyFont="1" applyBorder="1" applyAlignment="1">
      <alignment horizontal="center" vertical="center"/>
    </xf>
    <xf numFmtId="0" fontId="12" fillId="0" borderId="67" xfId="10" applyFont="1" applyBorder="1" applyAlignment="1">
      <alignment horizontal="center" vertical="center"/>
    </xf>
    <xf numFmtId="0" fontId="12" fillId="0" borderId="68" xfId="10" applyFont="1" applyBorder="1" applyAlignment="1">
      <alignment horizontal="center" vertical="center"/>
    </xf>
    <xf numFmtId="0" fontId="12" fillId="0" borderId="69" xfId="10" applyFont="1" applyBorder="1" applyAlignment="1">
      <alignment horizontal="left" vertical="center"/>
    </xf>
    <xf numFmtId="0" fontId="12" fillId="0" borderId="52" xfId="10" applyFont="1" applyBorder="1" applyAlignment="1">
      <alignment horizontal="left" vertical="center"/>
    </xf>
    <xf numFmtId="0" fontId="12" fillId="0" borderId="70" xfId="10" applyFont="1" applyBorder="1" applyAlignment="1">
      <alignment horizontal="left" vertical="center"/>
    </xf>
  </cellXfs>
  <cellStyles count="25">
    <cellStyle name="Celkem" xfId="1" builtinId="25" customBuiltin="1"/>
    <cellStyle name="Chybně" xfId="2" xr:uid="{00000000-0005-0000-0000-000001000000}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normální_POL.XLS" xfId="10" xr:uid="{00000000-0005-0000-0000-00000A000000}"/>
    <cellStyle name="Poznámka" xfId="11" builtinId="10" customBuiltin="1"/>
    <cellStyle name="Propojená buňka" xfId="12" builtinId="24" customBuiltin="1"/>
    <cellStyle name="Správně" xfId="13" builtinId="26" customBuiltin="1"/>
    <cellStyle name="Text upozornění" xfId="14" builtinId="11" customBuiltin="1"/>
    <cellStyle name="Vstup" xfId="15" builtinId="20" customBuiltin="1"/>
    <cellStyle name="Výpočet" xfId="16" builtinId="22" customBuiltin="1"/>
    <cellStyle name="Výstup" xfId="17" builtinId="21" customBuiltin="1"/>
    <cellStyle name="Vysvětlující text" xfId="18" builtinId="53" customBuiltin="1"/>
    <cellStyle name="Zvýraznění 1" xfId="19" builtinId="29" customBuiltin="1"/>
    <cellStyle name="Zvýraznění 2" xfId="20" builtinId="33" customBuiltin="1"/>
    <cellStyle name="Zvýraznění 3" xfId="21" builtinId="37" customBuiltin="1"/>
    <cellStyle name="Zvýraznění 4" xfId="22" builtinId="41" customBuiltin="1"/>
    <cellStyle name="Zvýraznění 5" xfId="23" builtinId="45" customBuiltin="1"/>
    <cellStyle name="Zvýraznění 6" xfId="24" builtinId="49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tabSelected="1" view="pageBreakPreview" zoomScaleNormal="100" zoomScaleSheetLayoutView="100" workbookViewId="0"/>
  </sheetViews>
  <sheetFormatPr defaultRowHeight="13.2" x14ac:dyDescent="0.25"/>
  <cols>
    <col min="1" max="1" width="2" customWidth="1"/>
    <col min="2" max="2" width="15" customWidth="1"/>
    <col min="3" max="3" width="15.88671875" customWidth="1"/>
    <col min="4" max="4" width="14.5546875" customWidth="1"/>
    <col min="5" max="5" width="13.5546875" customWidth="1"/>
    <col min="6" max="6" width="16.5546875" customWidth="1"/>
    <col min="7" max="7" width="15.33203125" customWidth="1"/>
  </cols>
  <sheetData>
    <row r="1" spans="1:57" ht="24.75" customHeight="1" thickBot="1" x14ac:dyDescent="0.3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5">
      <c r="A2" s="3" t="s">
        <v>1</v>
      </c>
      <c r="B2" s="4"/>
      <c r="C2" s="5">
        <f>Rekapitulace!H1</f>
        <v>1</v>
      </c>
      <c r="D2" s="5" t="str">
        <f>Rekapitulace!G2</f>
        <v>střecha</v>
      </c>
      <c r="E2" s="4"/>
      <c r="F2" s="6" t="s">
        <v>2</v>
      </c>
      <c r="G2" s="7"/>
    </row>
    <row r="3" spans="1:57" ht="3" hidden="1" customHeight="1" x14ac:dyDescent="0.25">
      <c r="A3" s="8"/>
      <c r="B3" s="9"/>
      <c r="C3" s="10"/>
      <c r="D3" s="10"/>
      <c r="E3" s="9"/>
      <c r="F3" s="11"/>
      <c r="G3" s="12"/>
    </row>
    <row r="4" spans="1:57" ht="12" customHeight="1" x14ac:dyDescent="0.25">
      <c r="A4" s="13" t="s">
        <v>3</v>
      </c>
      <c r="B4" s="9"/>
      <c r="C4" s="10" t="s">
        <v>4</v>
      </c>
      <c r="D4" s="10"/>
      <c r="E4" s="9"/>
      <c r="F4" s="11" t="s">
        <v>5</v>
      </c>
      <c r="G4" s="14"/>
    </row>
    <row r="5" spans="1:57" ht="12.9" customHeight="1" x14ac:dyDescent="0.25">
      <c r="A5" s="15" t="s">
        <v>80</v>
      </c>
      <c r="B5" s="16"/>
      <c r="C5" s="17" t="s">
        <v>81</v>
      </c>
      <c r="D5" s="18"/>
      <c r="E5" s="19"/>
      <c r="F5" s="11" t="s">
        <v>7</v>
      </c>
      <c r="G5" s="12"/>
    </row>
    <row r="6" spans="1:57" ht="12.9" customHeight="1" x14ac:dyDescent="0.25">
      <c r="A6" s="13" t="s">
        <v>8</v>
      </c>
      <c r="B6" s="9"/>
      <c r="C6" s="10" t="s">
        <v>9</v>
      </c>
      <c r="D6" s="10"/>
      <c r="E6" s="9"/>
      <c r="F6" s="20" t="s">
        <v>10</v>
      </c>
      <c r="G6" s="21">
        <v>0</v>
      </c>
      <c r="O6" s="22"/>
    </row>
    <row r="7" spans="1:57" ht="12.9" customHeight="1" x14ac:dyDescent="0.25">
      <c r="A7" s="23" t="s">
        <v>78</v>
      </c>
      <c r="B7" s="24"/>
      <c r="C7" s="25" t="s">
        <v>79</v>
      </c>
      <c r="D7" s="26"/>
      <c r="E7" s="26"/>
      <c r="F7" s="27" t="s">
        <v>11</v>
      </c>
      <c r="G7" s="21">
        <f>IF(PocetMJ=0,,ROUND((F30+F32)/PocetMJ,1))</f>
        <v>0</v>
      </c>
    </row>
    <row r="8" spans="1:57" x14ac:dyDescent="0.25">
      <c r="A8" s="28" t="s">
        <v>12</v>
      </c>
      <c r="B8" s="11"/>
      <c r="C8" s="257"/>
      <c r="D8" s="257"/>
      <c r="E8" s="258"/>
      <c r="F8" s="29" t="s">
        <v>13</v>
      </c>
      <c r="G8" s="30"/>
      <c r="H8" s="31"/>
      <c r="I8" s="32"/>
    </row>
    <row r="9" spans="1:57" x14ac:dyDescent="0.25">
      <c r="A9" s="28" t="s">
        <v>14</v>
      </c>
      <c r="B9" s="11"/>
      <c r="C9" s="257">
        <f>Projektant</f>
        <v>0</v>
      </c>
      <c r="D9" s="257"/>
      <c r="E9" s="258"/>
      <c r="F9" s="11"/>
      <c r="G9" s="33"/>
      <c r="H9" s="34"/>
    </row>
    <row r="10" spans="1:57" x14ac:dyDescent="0.25">
      <c r="A10" s="28" t="s">
        <v>15</v>
      </c>
      <c r="B10" s="11"/>
      <c r="C10" s="257"/>
      <c r="D10" s="257"/>
      <c r="E10" s="257"/>
      <c r="F10" s="35"/>
      <c r="G10" s="36"/>
      <c r="H10" s="37"/>
    </row>
    <row r="11" spans="1:57" ht="13.5" customHeight="1" x14ac:dyDescent="0.25">
      <c r="A11" s="28" t="s">
        <v>16</v>
      </c>
      <c r="B11" s="11"/>
      <c r="C11" s="257"/>
      <c r="D11" s="257"/>
      <c r="E11" s="257"/>
      <c r="F11" s="38" t="s">
        <v>17</v>
      </c>
      <c r="G11" s="39" t="s">
        <v>78</v>
      </c>
      <c r="H11" s="34"/>
      <c r="BA11" s="40"/>
      <c r="BB11" s="40"/>
      <c r="BC11" s="40"/>
      <c r="BD11" s="40"/>
      <c r="BE11" s="40"/>
    </row>
    <row r="12" spans="1:57" ht="12.75" customHeight="1" x14ac:dyDescent="0.25">
      <c r="A12" s="41" t="s">
        <v>18</v>
      </c>
      <c r="B12" s="9"/>
      <c r="C12" s="259"/>
      <c r="D12" s="259"/>
      <c r="E12" s="259"/>
      <c r="F12" s="42" t="s">
        <v>19</v>
      </c>
      <c r="G12" s="43"/>
      <c r="H12" s="34"/>
    </row>
    <row r="13" spans="1:57" ht="28.5" customHeight="1" thickBot="1" x14ac:dyDescent="0.3">
      <c r="A13" s="44" t="s">
        <v>20</v>
      </c>
      <c r="B13" s="45"/>
      <c r="C13" s="45"/>
      <c r="D13" s="45"/>
      <c r="E13" s="46"/>
      <c r="F13" s="46"/>
      <c r="G13" s="47"/>
      <c r="H13" s="34"/>
    </row>
    <row r="14" spans="1:57" ht="17.25" customHeight="1" thickBot="1" x14ac:dyDescent="0.3">
      <c r="A14" s="48" t="s">
        <v>21</v>
      </c>
      <c r="B14" s="49"/>
      <c r="C14" s="50"/>
      <c r="D14" s="51" t="s">
        <v>22</v>
      </c>
      <c r="E14" s="52"/>
      <c r="F14" s="52"/>
      <c r="G14" s="50"/>
    </row>
    <row r="15" spans="1:57" ht="15.9" customHeight="1" x14ac:dyDescent="0.25">
      <c r="A15" s="53"/>
      <c r="B15" s="54" t="s">
        <v>23</v>
      </c>
      <c r="C15" s="55">
        <f>HSV</f>
        <v>0</v>
      </c>
      <c r="D15" s="56" t="str">
        <f>Rekapitulace!A23</f>
        <v>Ztížené výrobní podmínky</v>
      </c>
      <c r="E15" s="57"/>
      <c r="F15" s="58"/>
      <c r="G15" s="55">
        <f>Rekapitulace!I23</f>
        <v>0</v>
      </c>
    </row>
    <row r="16" spans="1:57" ht="15.9" customHeight="1" x14ac:dyDescent="0.25">
      <c r="A16" s="53" t="s">
        <v>24</v>
      </c>
      <c r="B16" s="54" t="s">
        <v>25</v>
      </c>
      <c r="C16" s="55">
        <f>PSV</f>
        <v>0</v>
      </c>
      <c r="D16" s="59" t="str">
        <f>Rekapitulace!A24</f>
        <v>Oborová přirážka</v>
      </c>
      <c r="E16" s="60"/>
      <c r="F16" s="61"/>
      <c r="G16" s="55">
        <f>Rekapitulace!I24</f>
        <v>0</v>
      </c>
    </row>
    <row r="17" spans="1:7" ht="15.9" customHeight="1" x14ac:dyDescent="0.25">
      <c r="A17" s="53" t="s">
        <v>26</v>
      </c>
      <c r="B17" s="54" t="s">
        <v>27</v>
      </c>
      <c r="C17" s="55">
        <f>Mont</f>
        <v>0</v>
      </c>
      <c r="D17" s="59" t="str">
        <f>Rekapitulace!A25</f>
        <v>Přesun stavebních kapacit</v>
      </c>
      <c r="E17" s="60"/>
      <c r="F17" s="61"/>
      <c r="G17" s="55">
        <f>Rekapitulace!I25</f>
        <v>0</v>
      </c>
    </row>
    <row r="18" spans="1:7" ht="15.9" customHeight="1" x14ac:dyDescent="0.25">
      <c r="A18" s="62" t="s">
        <v>28</v>
      </c>
      <c r="B18" s="63" t="s">
        <v>29</v>
      </c>
      <c r="C18" s="55">
        <f>Dodavka</f>
        <v>0</v>
      </c>
      <c r="D18" s="59" t="str">
        <f>Rekapitulace!A26</f>
        <v>Mimostaveništní doprava</v>
      </c>
      <c r="E18" s="60"/>
      <c r="F18" s="61"/>
      <c r="G18" s="55">
        <f>Rekapitulace!I26</f>
        <v>0</v>
      </c>
    </row>
    <row r="19" spans="1:7" ht="15.9" customHeight="1" x14ac:dyDescent="0.25">
      <c r="A19" s="64" t="s">
        <v>30</v>
      </c>
      <c r="B19" s="54"/>
      <c r="C19" s="55">
        <f>SUM(C15:C18)</f>
        <v>0</v>
      </c>
      <c r="D19" s="65" t="str">
        <f>Rekapitulace!A27</f>
        <v>Zařízení staveniště</v>
      </c>
      <c r="E19" s="60"/>
      <c r="F19" s="61"/>
      <c r="G19" s="55">
        <f>Rekapitulace!I27</f>
        <v>0</v>
      </c>
    </row>
    <row r="20" spans="1:7" ht="15.9" customHeight="1" x14ac:dyDescent="0.25">
      <c r="A20" s="64"/>
      <c r="B20" s="54"/>
      <c r="C20" s="55"/>
      <c r="D20" s="59" t="str">
        <f>Rekapitulace!A28</f>
        <v>Provoz investora</v>
      </c>
      <c r="E20" s="60"/>
      <c r="F20" s="61"/>
      <c r="G20" s="55">
        <f>Rekapitulace!I28</f>
        <v>0</v>
      </c>
    </row>
    <row r="21" spans="1:7" ht="15.9" customHeight="1" x14ac:dyDescent="0.25">
      <c r="A21" s="64" t="s">
        <v>31</v>
      </c>
      <c r="B21" s="54"/>
      <c r="C21" s="55">
        <f>HZS</f>
        <v>0</v>
      </c>
      <c r="D21" s="59" t="str">
        <f>Rekapitulace!A29</f>
        <v>Kompletační činnost (IČD)</v>
      </c>
      <c r="E21" s="60"/>
      <c r="F21" s="61"/>
      <c r="G21" s="55">
        <f>Rekapitulace!I29</f>
        <v>0</v>
      </c>
    </row>
    <row r="22" spans="1:7" ht="15.9" customHeight="1" x14ac:dyDescent="0.25">
      <c r="A22" s="66" t="s">
        <v>32</v>
      </c>
      <c r="B22" s="34"/>
      <c r="C22" s="55">
        <f>C19+C21</f>
        <v>0</v>
      </c>
      <c r="D22" s="59" t="s">
        <v>33</v>
      </c>
      <c r="E22" s="60"/>
      <c r="F22" s="61"/>
      <c r="G22" s="55">
        <f>G23-SUM(G15:G21)</f>
        <v>0</v>
      </c>
    </row>
    <row r="23" spans="1:7" ht="15.9" customHeight="1" thickBot="1" x14ac:dyDescent="0.3">
      <c r="A23" s="260" t="s">
        <v>34</v>
      </c>
      <c r="B23" s="261"/>
      <c r="C23" s="67">
        <f>C22+G23</f>
        <v>0</v>
      </c>
      <c r="D23" s="68" t="s">
        <v>35</v>
      </c>
      <c r="E23" s="69"/>
      <c r="F23" s="70"/>
      <c r="G23" s="55">
        <f>VRN</f>
        <v>0</v>
      </c>
    </row>
    <row r="24" spans="1:7" x14ac:dyDescent="0.25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5">
      <c r="A25" s="66" t="s">
        <v>39</v>
      </c>
      <c r="B25" s="34"/>
      <c r="C25" s="76"/>
      <c r="D25" s="34" t="s">
        <v>39</v>
      </c>
      <c r="F25" s="77" t="s">
        <v>39</v>
      </c>
      <c r="G25" s="78"/>
    </row>
    <row r="26" spans="1:7" ht="37.5" customHeight="1" x14ac:dyDescent="0.25">
      <c r="A26" s="66" t="s">
        <v>40</v>
      </c>
      <c r="B26" s="79"/>
      <c r="C26" s="76"/>
      <c r="D26" s="34" t="s">
        <v>40</v>
      </c>
      <c r="F26" s="77" t="s">
        <v>40</v>
      </c>
      <c r="G26" s="78"/>
    </row>
    <row r="27" spans="1:7" x14ac:dyDescent="0.25">
      <c r="A27" s="66"/>
      <c r="B27" s="80"/>
      <c r="C27" s="76"/>
      <c r="D27" s="34"/>
      <c r="F27" s="77"/>
      <c r="G27" s="78"/>
    </row>
    <row r="28" spans="1:7" x14ac:dyDescent="0.25">
      <c r="A28" s="66" t="s">
        <v>41</v>
      </c>
      <c r="B28" s="34"/>
      <c r="C28" s="76"/>
      <c r="D28" s="77" t="s">
        <v>42</v>
      </c>
      <c r="E28" s="76"/>
      <c r="F28" s="81" t="s">
        <v>42</v>
      </c>
      <c r="G28" s="78"/>
    </row>
    <row r="29" spans="1:7" ht="69" customHeight="1" x14ac:dyDescent="0.25">
      <c r="A29" s="66"/>
      <c r="B29" s="34"/>
      <c r="C29" s="82"/>
      <c r="D29" s="83"/>
      <c r="E29" s="82"/>
      <c r="F29" s="34"/>
      <c r="G29" s="78"/>
    </row>
    <row r="30" spans="1:7" x14ac:dyDescent="0.25">
      <c r="A30" s="84" t="s">
        <v>43</v>
      </c>
      <c r="B30" s="85"/>
      <c r="C30" s="86">
        <v>21</v>
      </c>
      <c r="D30" s="85" t="s">
        <v>44</v>
      </c>
      <c r="E30" s="87"/>
      <c r="F30" s="262">
        <f>ROUND(C23-F32,0)</f>
        <v>0</v>
      </c>
      <c r="G30" s="263"/>
    </row>
    <row r="31" spans="1:7" x14ac:dyDescent="0.25">
      <c r="A31" s="84" t="s">
        <v>45</v>
      </c>
      <c r="B31" s="85"/>
      <c r="C31" s="86">
        <f>SazbaDPH1</f>
        <v>21</v>
      </c>
      <c r="D31" s="85" t="s">
        <v>46</v>
      </c>
      <c r="E31" s="87"/>
      <c r="F31" s="262">
        <f>ROUND(PRODUCT(F30,C31/100),1)</f>
        <v>0</v>
      </c>
      <c r="G31" s="263"/>
    </row>
    <row r="32" spans="1:7" x14ac:dyDescent="0.25">
      <c r="A32" s="84" t="s">
        <v>43</v>
      </c>
      <c r="B32" s="85"/>
      <c r="C32" s="86">
        <v>0</v>
      </c>
      <c r="D32" s="85" t="s">
        <v>46</v>
      </c>
      <c r="E32" s="87"/>
      <c r="F32" s="262">
        <v>0</v>
      </c>
      <c r="G32" s="263"/>
    </row>
    <row r="33" spans="1:8" x14ac:dyDescent="0.25">
      <c r="A33" s="84" t="s">
        <v>45</v>
      </c>
      <c r="B33" s="88"/>
      <c r="C33" s="89">
        <f>SazbaDPH2</f>
        <v>0</v>
      </c>
      <c r="D33" s="85" t="s">
        <v>46</v>
      </c>
      <c r="E33" s="61"/>
      <c r="F33" s="262">
        <f>ROUND(PRODUCT(F32,C33/100),1)</f>
        <v>0</v>
      </c>
      <c r="G33" s="263"/>
    </row>
    <row r="34" spans="1:8" s="93" customFormat="1" ht="19.5" customHeight="1" thickBot="1" x14ac:dyDescent="0.35">
      <c r="A34" s="90" t="s">
        <v>47</v>
      </c>
      <c r="B34" s="91"/>
      <c r="C34" s="91"/>
      <c r="D34" s="91"/>
      <c r="E34" s="92"/>
      <c r="F34" s="264">
        <f>CEILING(SUM(F30:F33),IF(SUM(F30:F33)&gt;=0,1,-1))</f>
        <v>0</v>
      </c>
      <c r="G34" s="265"/>
    </row>
    <row r="36" spans="1:8" x14ac:dyDescent="0.25">
      <c r="A36" s="94" t="s">
        <v>48</v>
      </c>
      <c r="B36" s="94"/>
      <c r="C36" s="94"/>
      <c r="D36" s="94"/>
      <c r="E36" s="94"/>
      <c r="F36" s="94"/>
      <c r="G36" s="94"/>
      <c r="H36" t="s">
        <v>6</v>
      </c>
    </row>
    <row r="37" spans="1:8" ht="14.25" customHeight="1" x14ac:dyDescent="0.25">
      <c r="A37" s="94"/>
      <c r="B37" s="256"/>
      <c r="C37" s="256"/>
      <c r="D37" s="256"/>
      <c r="E37" s="256"/>
      <c r="F37" s="256"/>
      <c r="G37" s="256"/>
      <c r="H37" t="s">
        <v>6</v>
      </c>
    </row>
    <row r="38" spans="1:8" ht="12.75" customHeight="1" x14ac:dyDescent="0.25">
      <c r="A38" s="95"/>
      <c r="B38" s="256"/>
      <c r="C38" s="256"/>
      <c r="D38" s="256"/>
      <c r="E38" s="256"/>
      <c r="F38" s="256"/>
      <c r="G38" s="256"/>
      <c r="H38" t="s">
        <v>6</v>
      </c>
    </row>
    <row r="39" spans="1:8" x14ac:dyDescent="0.25">
      <c r="A39" s="95"/>
      <c r="B39" s="256"/>
      <c r="C39" s="256"/>
      <c r="D39" s="256"/>
      <c r="E39" s="256"/>
      <c r="F39" s="256"/>
      <c r="G39" s="256"/>
      <c r="H39" t="s">
        <v>6</v>
      </c>
    </row>
    <row r="40" spans="1:8" x14ac:dyDescent="0.25">
      <c r="A40" s="95"/>
      <c r="B40" s="256"/>
      <c r="C40" s="256"/>
      <c r="D40" s="256"/>
      <c r="E40" s="256"/>
      <c r="F40" s="256"/>
      <c r="G40" s="256"/>
      <c r="H40" t="s">
        <v>6</v>
      </c>
    </row>
    <row r="41" spans="1:8" x14ac:dyDescent="0.25">
      <c r="A41" s="95"/>
      <c r="B41" s="256"/>
      <c r="C41" s="256"/>
      <c r="D41" s="256"/>
      <c r="E41" s="256"/>
      <c r="F41" s="256"/>
      <c r="G41" s="256"/>
      <c r="H41" t="s">
        <v>6</v>
      </c>
    </row>
    <row r="42" spans="1:8" x14ac:dyDescent="0.25">
      <c r="A42" s="95"/>
      <c r="B42" s="256"/>
      <c r="C42" s="256"/>
      <c r="D42" s="256"/>
      <c r="E42" s="256"/>
      <c r="F42" s="256"/>
      <c r="G42" s="256"/>
      <c r="H42" t="s">
        <v>6</v>
      </c>
    </row>
    <row r="43" spans="1:8" x14ac:dyDescent="0.25">
      <c r="A43" s="95"/>
      <c r="B43" s="256"/>
      <c r="C43" s="256"/>
      <c r="D43" s="256"/>
      <c r="E43" s="256"/>
      <c r="F43" s="256"/>
      <c r="G43" s="256"/>
      <c r="H43" t="s">
        <v>6</v>
      </c>
    </row>
    <row r="44" spans="1:8" x14ac:dyDescent="0.25">
      <c r="A44" s="95"/>
      <c r="B44" s="256"/>
      <c r="C44" s="256"/>
      <c r="D44" s="256"/>
      <c r="E44" s="256"/>
      <c r="F44" s="256"/>
      <c r="G44" s="256"/>
      <c r="H44" t="s">
        <v>6</v>
      </c>
    </row>
    <row r="45" spans="1:8" ht="0.75" customHeight="1" x14ac:dyDescent="0.25">
      <c r="A45" s="95"/>
      <c r="B45" s="256"/>
      <c r="C45" s="256"/>
      <c r="D45" s="256"/>
      <c r="E45" s="256"/>
      <c r="F45" s="256"/>
      <c r="G45" s="256"/>
      <c r="H45" t="s">
        <v>6</v>
      </c>
    </row>
    <row r="46" spans="1:8" x14ac:dyDescent="0.25">
      <c r="B46" s="255"/>
      <c r="C46" s="255"/>
      <c r="D46" s="255"/>
      <c r="E46" s="255"/>
      <c r="F46" s="255"/>
      <c r="G46" s="255"/>
    </row>
    <row r="47" spans="1:8" x14ac:dyDescent="0.25">
      <c r="B47" s="255"/>
      <c r="C47" s="255"/>
      <c r="D47" s="255"/>
      <c r="E47" s="255"/>
      <c r="F47" s="255"/>
      <c r="G47" s="255"/>
    </row>
    <row r="48" spans="1:8" x14ac:dyDescent="0.25">
      <c r="B48" s="255"/>
      <c r="C48" s="255"/>
      <c r="D48" s="255"/>
      <c r="E48" s="255"/>
      <c r="F48" s="255"/>
      <c r="G48" s="255"/>
    </row>
    <row r="49" spans="2:7" x14ac:dyDescent="0.25">
      <c r="B49" s="255"/>
      <c r="C49" s="255"/>
      <c r="D49" s="255"/>
      <c r="E49" s="255"/>
      <c r="F49" s="255"/>
      <c r="G49" s="255"/>
    </row>
    <row r="50" spans="2:7" x14ac:dyDescent="0.25">
      <c r="B50" s="255"/>
      <c r="C50" s="255"/>
      <c r="D50" s="255"/>
      <c r="E50" s="255"/>
      <c r="F50" s="255"/>
      <c r="G50" s="255"/>
    </row>
    <row r="51" spans="2:7" x14ac:dyDescent="0.25">
      <c r="B51" s="255"/>
      <c r="C51" s="255"/>
      <c r="D51" s="255"/>
      <c r="E51" s="255"/>
      <c r="F51" s="255"/>
      <c r="G51" s="255"/>
    </row>
    <row r="52" spans="2:7" x14ac:dyDescent="0.25">
      <c r="B52" s="255"/>
      <c r="C52" s="255"/>
      <c r="D52" s="255"/>
      <c r="E52" s="255"/>
      <c r="F52" s="255"/>
      <c r="G52" s="255"/>
    </row>
    <row r="53" spans="2:7" x14ac:dyDescent="0.25">
      <c r="B53" s="255"/>
      <c r="C53" s="255"/>
      <c r="D53" s="255"/>
      <c r="E53" s="255"/>
      <c r="F53" s="255"/>
      <c r="G53" s="255"/>
    </row>
    <row r="54" spans="2:7" x14ac:dyDescent="0.25">
      <c r="B54" s="255"/>
      <c r="C54" s="255"/>
      <c r="D54" s="255"/>
      <c r="E54" s="255"/>
      <c r="F54" s="255"/>
      <c r="G54" s="255"/>
    </row>
    <row r="55" spans="2:7" x14ac:dyDescent="0.25">
      <c r="B55" s="255"/>
      <c r="C55" s="255"/>
      <c r="D55" s="255"/>
      <c r="E55" s="255"/>
      <c r="F55" s="255"/>
      <c r="G55" s="255"/>
    </row>
  </sheetData>
  <mergeCells count="22">
    <mergeCell ref="C8:E8"/>
    <mergeCell ref="C10:E10"/>
    <mergeCell ref="C12:E12"/>
    <mergeCell ref="B46:G46"/>
    <mergeCell ref="A23:B23"/>
    <mergeCell ref="F30:G30"/>
    <mergeCell ref="F31:G31"/>
    <mergeCell ref="F32:G32"/>
    <mergeCell ref="F33:G33"/>
    <mergeCell ref="F34:G34"/>
    <mergeCell ref="B47:G47"/>
    <mergeCell ref="B48:G48"/>
    <mergeCell ref="B37:G45"/>
    <mergeCell ref="B53:G53"/>
    <mergeCell ref="C9:E9"/>
    <mergeCell ref="C11:E11"/>
    <mergeCell ref="B54:G54"/>
    <mergeCell ref="B55:G55"/>
    <mergeCell ref="B49:G49"/>
    <mergeCell ref="B50:G50"/>
    <mergeCell ref="B51:G51"/>
    <mergeCell ref="B52:G52"/>
  </mergeCells>
  <phoneticPr fontId="0" type="noConversion"/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BE82"/>
  <sheetViews>
    <sheetView view="pageBreakPreview" zoomScaleNormal="100" zoomScaleSheetLayoutView="100" workbookViewId="0">
      <selection sqref="A1:B1"/>
    </sheetView>
  </sheetViews>
  <sheetFormatPr defaultColWidth="9.109375" defaultRowHeight="13.2" x14ac:dyDescent="0.25"/>
  <cols>
    <col min="1" max="1" width="5.88671875" style="189" customWidth="1"/>
    <col min="2" max="2" width="6.109375" style="189" customWidth="1"/>
    <col min="3" max="3" width="11.44140625" style="189" customWidth="1"/>
    <col min="4" max="4" width="15.88671875" style="189" customWidth="1"/>
    <col min="5" max="5" width="11.33203125" style="189" customWidth="1"/>
    <col min="6" max="6" width="10.88671875" style="189" customWidth="1"/>
    <col min="7" max="7" width="11" style="189" customWidth="1"/>
    <col min="8" max="8" width="11.109375" style="189" customWidth="1"/>
    <col min="9" max="9" width="10.6640625" style="189" customWidth="1"/>
    <col min="10" max="16384" width="9.109375" style="189"/>
  </cols>
  <sheetData>
    <row r="1" spans="1:9" ht="13.8" thickTop="1" x14ac:dyDescent="0.25">
      <c r="A1" s="268" t="s">
        <v>49</v>
      </c>
      <c r="B1" s="269"/>
      <c r="C1" s="98" t="str">
        <f>CONCATENATE(cislostavby," ",nazevstavby)</f>
        <v>PV190723 Tělocvična Žižkov</v>
      </c>
      <c r="D1" s="99"/>
      <c r="E1" s="185"/>
      <c r="F1" s="99"/>
      <c r="G1" s="186" t="s">
        <v>50</v>
      </c>
      <c r="H1" s="187">
        <v>1</v>
      </c>
      <c r="I1" s="188"/>
    </row>
    <row r="2" spans="1:9" ht="13.8" thickBot="1" x14ac:dyDescent="0.3">
      <c r="A2" s="270" t="s">
        <v>51</v>
      </c>
      <c r="B2" s="271"/>
      <c r="C2" s="103" t="str">
        <f>CONCATENATE(cisloobjektu," ",nazevobjektu)</f>
        <v>0001 střecha</v>
      </c>
      <c r="D2" s="104"/>
      <c r="E2" s="190"/>
      <c r="F2" s="104"/>
      <c r="G2" s="272" t="s">
        <v>81</v>
      </c>
      <c r="H2" s="273"/>
      <c r="I2" s="274"/>
    </row>
    <row r="3" spans="1:9" ht="13.8" thickTop="1" x14ac:dyDescent="0.25">
      <c r="F3" s="191"/>
    </row>
    <row r="4" spans="1:9" ht="19.5" customHeight="1" x14ac:dyDescent="0.25">
      <c r="A4" s="192" t="s">
        <v>52</v>
      </c>
      <c r="B4" s="193"/>
      <c r="C4" s="193"/>
      <c r="D4" s="193"/>
      <c r="E4" s="194"/>
      <c r="F4" s="193"/>
      <c r="G4" s="193"/>
      <c r="H4" s="193"/>
      <c r="I4" s="193"/>
    </row>
    <row r="5" spans="1:9" ht="13.8" thickBot="1" x14ac:dyDescent="0.3"/>
    <row r="6" spans="1:9" s="191" customFormat="1" ht="27" thickBot="1" x14ac:dyDescent="0.3">
      <c r="A6" s="195"/>
      <c r="B6" s="196" t="s">
        <v>53</v>
      </c>
      <c r="C6" s="196"/>
      <c r="D6" s="197"/>
      <c r="E6" s="198" t="s">
        <v>54</v>
      </c>
      <c r="F6" s="199" t="s">
        <v>55</v>
      </c>
      <c r="G6" s="200" t="s">
        <v>291</v>
      </c>
      <c r="H6" s="199"/>
      <c r="I6" s="201"/>
    </row>
    <row r="7" spans="1:9" s="191" customFormat="1" x14ac:dyDescent="0.25">
      <c r="A7" s="202" t="s">
        <v>116</v>
      </c>
      <c r="B7" s="203" t="str">
        <f>Položky!C7</f>
        <v>Svislé a kompletní konstrukce</v>
      </c>
      <c r="D7" s="204"/>
      <c r="E7" s="205">
        <f>Položky!G11</f>
        <v>0</v>
      </c>
      <c r="F7" s="206"/>
      <c r="G7" s="206"/>
      <c r="H7" s="206"/>
      <c r="I7" s="207"/>
    </row>
    <row r="8" spans="1:9" s="191" customFormat="1" x14ac:dyDescent="0.25">
      <c r="A8" s="208" t="s">
        <v>184</v>
      </c>
      <c r="B8" s="203" t="str">
        <f>Položky!C12</f>
        <v>Úpravy povrchů</v>
      </c>
      <c r="D8" s="204"/>
      <c r="E8" s="205">
        <f>Položky!G16</f>
        <v>0</v>
      </c>
      <c r="F8" s="206"/>
      <c r="G8" s="206"/>
      <c r="H8" s="206"/>
      <c r="I8" s="207"/>
    </row>
    <row r="9" spans="1:9" s="191" customFormat="1" x14ac:dyDescent="0.25">
      <c r="A9" s="202" t="s">
        <v>160</v>
      </c>
      <c r="B9" s="203" t="str">
        <f>Položky!C17</f>
        <v>Bourání</v>
      </c>
      <c r="D9" s="204"/>
      <c r="E9" s="205">
        <f>Položky!G30</f>
        <v>0</v>
      </c>
      <c r="F9" s="206"/>
      <c r="G9" s="206"/>
      <c r="H9" s="206"/>
      <c r="I9" s="207"/>
    </row>
    <row r="10" spans="1:9" s="191" customFormat="1" x14ac:dyDescent="0.25">
      <c r="A10" s="202" t="s">
        <v>152</v>
      </c>
      <c r="B10" s="203" t="str">
        <f>Položky!C31</f>
        <v>Přesun hmot</v>
      </c>
      <c r="D10" s="204"/>
      <c r="E10" s="205">
        <f>Položky!G33</f>
        <v>0</v>
      </c>
      <c r="F10" s="206"/>
      <c r="G10" s="206"/>
      <c r="H10" s="206"/>
      <c r="I10" s="207"/>
    </row>
    <row r="11" spans="1:9" s="191" customFormat="1" x14ac:dyDescent="0.25">
      <c r="A11" s="202" t="s">
        <v>95</v>
      </c>
      <c r="B11" s="203" t="str">
        <f>Položky!C34</f>
        <v>Živičné krytiny</v>
      </c>
      <c r="D11" s="204"/>
      <c r="E11" s="205"/>
      <c r="F11" s="206">
        <f>Položky!G52</f>
        <v>0</v>
      </c>
      <c r="G11" s="206"/>
      <c r="H11" s="206"/>
      <c r="I11" s="207"/>
    </row>
    <row r="12" spans="1:9" s="191" customFormat="1" x14ac:dyDescent="0.25">
      <c r="A12" s="208" t="s">
        <v>281</v>
      </c>
      <c r="B12" s="203" t="str">
        <f>Položky!C53</f>
        <v>Konstrukce sklobetonové</v>
      </c>
      <c r="D12" s="204"/>
      <c r="E12" s="205"/>
      <c r="F12" s="206">
        <f>Položky!G58</f>
        <v>0</v>
      </c>
      <c r="G12" s="206"/>
      <c r="H12" s="206"/>
      <c r="I12" s="207"/>
    </row>
    <row r="13" spans="1:9" s="191" customFormat="1" x14ac:dyDescent="0.25">
      <c r="A13" s="202" t="s">
        <v>130</v>
      </c>
      <c r="B13" s="203" t="str">
        <f>Položky!C59</f>
        <v>Konstrukce tesařské</v>
      </c>
      <c r="D13" s="204"/>
      <c r="E13" s="205"/>
      <c r="F13" s="206">
        <f>Položky!G83</f>
        <v>0</v>
      </c>
      <c r="G13" s="206"/>
      <c r="H13" s="206"/>
      <c r="I13" s="207"/>
    </row>
    <row r="14" spans="1:9" s="191" customFormat="1" x14ac:dyDescent="0.25">
      <c r="A14" s="208" t="s">
        <v>198</v>
      </c>
      <c r="B14" s="203" t="str">
        <f>Položky!C84</f>
        <v>Klempířské konstrukce</v>
      </c>
      <c r="D14" s="204"/>
      <c r="E14" s="205"/>
      <c r="F14" s="206">
        <f>Položky!G152</f>
        <v>0</v>
      </c>
      <c r="G14" s="206"/>
      <c r="H14" s="206"/>
      <c r="I14" s="207"/>
    </row>
    <row r="15" spans="1:9" s="191" customFormat="1" x14ac:dyDescent="0.25">
      <c r="A15" s="202" t="s">
        <v>100</v>
      </c>
      <c r="B15" s="203" t="str">
        <f>Položky!C153</f>
        <v>Krytiny tvrdé</v>
      </c>
      <c r="D15" s="204"/>
      <c r="E15" s="205"/>
      <c r="F15" s="206">
        <f>Položky!G169</f>
        <v>0</v>
      </c>
      <c r="G15" s="206"/>
      <c r="H15" s="206"/>
      <c r="I15" s="207"/>
    </row>
    <row r="16" spans="1:9" s="191" customFormat="1" x14ac:dyDescent="0.25">
      <c r="A16" s="202" t="s">
        <v>147</v>
      </c>
      <c r="B16" s="203" t="str">
        <f>Položky!C170</f>
        <v>Nátěry</v>
      </c>
      <c r="D16" s="204"/>
      <c r="E16" s="205"/>
      <c r="F16" s="206">
        <f>Položky!G184</f>
        <v>0</v>
      </c>
      <c r="G16" s="206"/>
      <c r="H16" s="206"/>
      <c r="I16" s="207"/>
    </row>
    <row r="17" spans="1:57" s="191" customFormat="1" ht="13.8" thickBot="1" x14ac:dyDescent="0.3">
      <c r="A17" s="208" t="s">
        <v>195</v>
      </c>
      <c r="B17" s="203" t="str">
        <f>Položky!C185</f>
        <v>Elektro - hromosvod</v>
      </c>
      <c r="D17" s="204"/>
      <c r="E17" s="205"/>
      <c r="F17" s="206"/>
      <c r="G17" s="206">
        <f>Položky!G188</f>
        <v>0</v>
      </c>
      <c r="H17" s="206"/>
      <c r="I17" s="207"/>
    </row>
    <row r="18" spans="1:57" s="215" customFormat="1" ht="13.8" thickBot="1" x14ac:dyDescent="0.3">
      <c r="A18" s="209"/>
      <c r="B18" s="210" t="s">
        <v>56</v>
      </c>
      <c r="C18" s="210"/>
      <c r="D18" s="211"/>
      <c r="E18" s="212">
        <f>SUM(E7:E17)</f>
        <v>0</v>
      </c>
      <c r="F18" s="213">
        <f>SUM(F7:F17)</f>
        <v>0</v>
      </c>
      <c r="G18" s="213">
        <f>SUM(G7:G17)</f>
        <v>0</v>
      </c>
      <c r="H18" s="213">
        <f>SUM(H7:H17)</f>
        <v>0</v>
      </c>
      <c r="I18" s="214">
        <f>SUM(I7:I17)</f>
        <v>0</v>
      </c>
    </row>
    <row r="19" spans="1:57" x14ac:dyDescent="0.25">
      <c r="A19" s="191"/>
      <c r="B19" s="191"/>
      <c r="C19" s="191"/>
      <c r="D19" s="191"/>
      <c r="E19" s="191"/>
      <c r="F19" s="191"/>
      <c r="G19" s="191"/>
      <c r="H19" s="191"/>
      <c r="I19" s="191"/>
    </row>
    <row r="20" spans="1:57" ht="19.5" customHeight="1" x14ac:dyDescent="0.25">
      <c r="A20" s="193" t="s">
        <v>57</v>
      </c>
      <c r="B20" s="193"/>
      <c r="C20" s="193"/>
      <c r="D20" s="193"/>
      <c r="E20" s="193"/>
      <c r="F20" s="193"/>
      <c r="G20" s="216"/>
      <c r="H20" s="193"/>
      <c r="I20" s="193"/>
      <c r="BA20" s="217"/>
      <c r="BB20" s="217"/>
      <c r="BC20" s="217"/>
      <c r="BD20" s="217"/>
      <c r="BE20" s="217"/>
    </row>
    <row r="21" spans="1:57" ht="13.8" thickBot="1" x14ac:dyDescent="0.3"/>
    <row r="22" spans="1:57" x14ac:dyDescent="0.25">
      <c r="A22" s="218" t="s">
        <v>58</v>
      </c>
      <c r="B22" s="219"/>
      <c r="C22" s="219"/>
      <c r="D22" s="220"/>
      <c r="E22" s="221" t="s">
        <v>59</v>
      </c>
      <c r="F22" s="222" t="s">
        <v>60</v>
      </c>
      <c r="G22" s="223" t="s">
        <v>61</v>
      </c>
      <c r="H22" s="224"/>
      <c r="I22" s="225" t="s">
        <v>59</v>
      </c>
    </row>
    <row r="23" spans="1:57" x14ac:dyDescent="0.25">
      <c r="A23" s="226" t="s">
        <v>103</v>
      </c>
      <c r="B23" s="227"/>
      <c r="C23" s="227"/>
      <c r="D23" s="228"/>
      <c r="E23" s="229">
        <v>0</v>
      </c>
      <c r="F23" s="230">
        <v>0</v>
      </c>
      <c r="G23" s="231">
        <f>SUM(E18:I18)</f>
        <v>0</v>
      </c>
      <c r="H23" s="232"/>
      <c r="I23" s="233">
        <f t="shared" ref="I23:I30" si="0">E23+F23*G23/100</f>
        <v>0</v>
      </c>
      <c r="BA23" s="189">
        <v>0</v>
      </c>
    </row>
    <row r="24" spans="1:57" x14ac:dyDescent="0.25">
      <c r="A24" s="226" t="s">
        <v>104</v>
      </c>
      <c r="B24" s="227"/>
      <c r="C24" s="227"/>
      <c r="D24" s="228"/>
      <c r="E24" s="229">
        <v>0</v>
      </c>
      <c r="F24" s="230">
        <v>0</v>
      </c>
      <c r="G24" s="231">
        <f>G23</f>
        <v>0</v>
      </c>
      <c r="H24" s="232"/>
      <c r="I24" s="233">
        <f t="shared" si="0"/>
        <v>0</v>
      </c>
      <c r="BA24" s="189">
        <v>0</v>
      </c>
    </row>
    <row r="25" spans="1:57" x14ac:dyDescent="0.25">
      <c r="A25" s="226" t="s">
        <v>105</v>
      </c>
      <c r="B25" s="227"/>
      <c r="C25" s="227"/>
      <c r="D25" s="228"/>
      <c r="E25" s="229">
        <v>0</v>
      </c>
      <c r="F25" s="230">
        <v>0</v>
      </c>
      <c r="G25" s="231">
        <f>G23</f>
        <v>0</v>
      </c>
      <c r="H25" s="232"/>
      <c r="I25" s="233">
        <f t="shared" si="0"/>
        <v>0</v>
      </c>
      <c r="BA25" s="189">
        <v>0</v>
      </c>
    </row>
    <row r="26" spans="1:57" x14ac:dyDescent="0.25">
      <c r="A26" s="226" t="s">
        <v>106</v>
      </c>
      <c r="B26" s="227"/>
      <c r="C26" s="227"/>
      <c r="D26" s="228"/>
      <c r="E26" s="229">
        <v>0</v>
      </c>
      <c r="F26" s="230">
        <v>0</v>
      </c>
      <c r="G26" s="231">
        <f>G23</f>
        <v>0</v>
      </c>
      <c r="H26" s="232"/>
      <c r="I26" s="233">
        <f t="shared" si="0"/>
        <v>0</v>
      </c>
      <c r="BA26" s="189">
        <v>0</v>
      </c>
    </row>
    <row r="27" spans="1:57" x14ac:dyDescent="0.25">
      <c r="A27" s="226" t="s">
        <v>107</v>
      </c>
      <c r="B27" s="227"/>
      <c r="C27" s="227"/>
      <c r="D27" s="228"/>
      <c r="E27" s="229">
        <v>0</v>
      </c>
      <c r="F27" s="230">
        <v>0</v>
      </c>
      <c r="G27" s="231">
        <f>G23</f>
        <v>0</v>
      </c>
      <c r="H27" s="232"/>
      <c r="I27" s="233">
        <f>E27+F27*G27/100</f>
        <v>0</v>
      </c>
      <c r="BA27" s="189">
        <v>1</v>
      </c>
    </row>
    <row r="28" spans="1:57" x14ac:dyDescent="0.25">
      <c r="A28" s="226" t="s">
        <v>108</v>
      </c>
      <c r="B28" s="227"/>
      <c r="C28" s="227"/>
      <c r="D28" s="228"/>
      <c r="E28" s="229">
        <v>0</v>
      </c>
      <c r="F28" s="230">
        <v>0</v>
      </c>
      <c r="G28" s="231">
        <f>G23</f>
        <v>0</v>
      </c>
      <c r="H28" s="232"/>
      <c r="I28" s="233">
        <f t="shared" si="0"/>
        <v>0</v>
      </c>
      <c r="BA28" s="189">
        <v>1</v>
      </c>
    </row>
    <row r="29" spans="1:57" x14ac:dyDescent="0.25">
      <c r="A29" s="226" t="s">
        <v>109</v>
      </c>
      <c r="B29" s="227"/>
      <c r="C29" s="227"/>
      <c r="D29" s="228"/>
      <c r="E29" s="229">
        <v>0</v>
      </c>
      <c r="F29" s="230">
        <v>0</v>
      </c>
      <c r="G29" s="231">
        <f>G23</f>
        <v>0</v>
      </c>
      <c r="H29" s="232"/>
      <c r="I29" s="233">
        <f t="shared" si="0"/>
        <v>0</v>
      </c>
      <c r="BA29" s="189">
        <v>2</v>
      </c>
    </row>
    <row r="30" spans="1:57" x14ac:dyDescent="0.25">
      <c r="A30" s="226" t="s">
        <v>110</v>
      </c>
      <c r="B30" s="227"/>
      <c r="C30" s="227"/>
      <c r="D30" s="228"/>
      <c r="E30" s="229">
        <v>0</v>
      </c>
      <c r="F30" s="230">
        <v>0</v>
      </c>
      <c r="G30" s="231">
        <f>G23</f>
        <v>0</v>
      </c>
      <c r="H30" s="232"/>
      <c r="I30" s="233">
        <f t="shared" si="0"/>
        <v>0</v>
      </c>
      <c r="BA30" s="189">
        <v>2</v>
      </c>
    </row>
    <row r="31" spans="1:57" ht="13.8" thickBot="1" x14ac:dyDescent="0.3">
      <c r="A31" s="234"/>
      <c r="B31" s="235" t="s">
        <v>62</v>
      </c>
      <c r="C31" s="236"/>
      <c r="D31" s="237"/>
      <c r="E31" s="238"/>
      <c r="F31" s="239"/>
      <c r="G31" s="239"/>
      <c r="H31" s="266">
        <f>SUM(I23:I30)</f>
        <v>0</v>
      </c>
      <c r="I31" s="267"/>
    </row>
    <row r="33" spans="2:9" x14ac:dyDescent="0.25">
      <c r="B33" s="215"/>
      <c r="F33" s="240"/>
      <c r="G33" s="241"/>
      <c r="H33" s="241"/>
      <c r="I33" s="242"/>
    </row>
    <row r="34" spans="2:9" x14ac:dyDescent="0.25">
      <c r="F34" s="240"/>
      <c r="G34" s="241"/>
      <c r="H34" s="241"/>
      <c r="I34" s="242"/>
    </row>
    <row r="35" spans="2:9" x14ac:dyDescent="0.25">
      <c r="F35" s="240"/>
      <c r="G35" s="241"/>
      <c r="H35" s="241"/>
      <c r="I35" s="242"/>
    </row>
    <row r="36" spans="2:9" x14ac:dyDescent="0.25">
      <c r="F36" s="240"/>
      <c r="G36" s="241"/>
      <c r="H36" s="241"/>
      <c r="I36" s="242"/>
    </row>
    <row r="37" spans="2:9" x14ac:dyDescent="0.25">
      <c r="F37" s="240"/>
      <c r="G37" s="241"/>
      <c r="H37" s="241"/>
      <c r="I37" s="242"/>
    </row>
    <row r="38" spans="2:9" x14ac:dyDescent="0.25">
      <c r="F38" s="240"/>
      <c r="G38" s="241"/>
      <c r="H38" s="241"/>
      <c r="I38" s="242"/>
    </row>
    <row r="39" spans="2:9" x14ac:dyDescent="0.25">
      <c r="F39" s="240"/>
      <c r="G39" s="241"/>
      <c r="H39" s="241"/>
      <c r="I39" s="242"/>
    </row>
    <row r="40" spans="2:9" x14ac:dyDescent="0.25">
      <c r="F40" s="240"/>
      <c r="G40" s="241"/>
      <c r="H40" s="241"/>
      <c r="I40" s="242"/>
    </row>
    <row r="41" spans="2:9" x14ac:dyDescent="0.25">
      <c r="F41" s="240"/>
      <c r="G41" s="241"/>
      <c r="H41" s="241"/>
      <c r="I41" s="242"/>
    </row>
    <row r="42" spans="2:9" x14ac:dyDescent="0.25">
      <c r="F42" s="240"/>
      <c r="G42" s="241"/>
      <c r="H42" s="241"/>
      <c r="I42" s="242"/>
    </row>
    <row r="43" spans="2:9" x14ac:dyDescent="0.25">
      <c r="F43" s="240"/>
      <c r="G43" s="241"/>
      <c r="H43" s="241"/>
      <c r="I43" s="242"/>
    </row>
    <row r="44" spans="2:9" x14ac:dyDescent="0.25">
      <c r="F44" s="240"/>
      <c r="G44" s="241"/>
      <c r="H44" s="241"/>
      <c r="I44" s="242"/>
    </row>
    <row r="45" spans="2:9" x14ac:dyDescent="0.25">
      <c r="F45" s="240"/>
      <c r="G45" s="241"/>
      <c r="H45" s="241"/>
      <c r="I45" s="242"/>
    </row>
    <row r="46" spans="2:9" x14ac:dyDescent="0.25">
      <c r="F46" s="240"/>
      <c r="G46" s="241"/>
      <c r="H46" s="241"/>
      <c r="I46" s="242"/>
    </row>
    <row r="47" spans="2:9" x14ac:dyDescent="0.25">
      <c r="F47" s="240"/>
      <c r="G47" s="241"/>
      <c r="H47" s="241"/>
      <c r="I47" s="242"/>
    </row>
    <row r="48" spans="2:9" x14ac:dyDescent="0.25">
      <c r="F48" s="240"/>
      <c r="G48" s="241"/>
      <c r="H48" s="241"/>
      <c r="I48" s="242"/>
    </row>
    <row r="49" spans="6:9" x14ac:dyDescent="0.25">
      <c r="F49" s="240"/>
      <c r="G49" s="241"/>
      <c r="H49" s="241"/>
      <c r="I49" s="242"/>
    </row>
    <row r="50" spans="6:9" x14ac:dyDescent="0.25">
      <c r="F50" s="240"/>
      <c r="G50" s="241"/>
      <c r="H50" s="241"/>
      <c r="I50" s="242"/>
    </row>
    <row r="51" spans="6:9" x14ac:dyDescent="0.25">
      <c r="F51" s="240"/>
      <c r="G51" s="241"/>
      <c r="H51" s="241"/>
      <c r="I51" s="242"/>
    </row>
    <row r="52" spans="6:9" x14ac:dyDescent="0.25">
      <c r="F52" s="240"/>
      <c r="G52" s="241"/>
      <c r="H52" s="241"/>
      <c r="I52" s="242"/>
    </row>
    <row r="53" spans="6:9" x14ac:dyDescent="0.25">
      <c r="F53" s="240"/>
      <c r="G53" s="241"/>
      <c r="H53" s="241"/>
      <c r="I53" s="242"/>
    </row>
    <row r="54" spans="6:9" x14ac:dyDescent="0.25">
      <c r="F54" s="240"/>
      <c r="G54" s="241"/>
      <c r="H54" s="241"/>
      <c r="I54" s="242"/>
    </row>
    <row r="55" spans="6:9" x14ac:dyDescent="0.25">
      <c r="F55" s="240"/>
      <c r="G55" s="241"/>
      <c r="H55" s="241"/>
      <c r="I55" s="242"/>
    </row>
    <row r="56" spans="6:9" x14ac:dyDescent="0.25">
      <c r="F56" s="240"/>
      <c r="G56" s="241"/>
      <c r="H56" s="241"/>
      <c r="I56" s="242"/>
    </row>
    <row r="57" spans="6:9" x14ac:dyDescent="0.25">
      <c r="F57" s="240"/>
      <c r="G57" s="241"/>
      <c r="H57" s="241"/>
      <c r="I57" s="242"/>
    </row>
    <row r="58" spans="6:9" x14ac:dyDescent="0.25">
      <c r="F58" s="240"/>
      <c r="G58" s="241"/>
      <c r="H58" s="241"/>
      <c r="I58" s="242"/>
    </row>
    <row r="59" spans="6:9" x14ac:dyDescent="0.25">
      <c r="F59" s="240"/>
      <c r="G59" s="241"/>
      <c r="H59" s="241"/>
      <c r="I59" s="242"/>
    </row>
    <row r="60" spans="6:9" x14ac:dyDescent="0.25">
      <c r="F60" s="240"/>
      <c r="G60" s="241"/>
      <c r="H60" s="241"/>
      <c r="I60" s="242"/>
    </row>
    <row r="61" spans="6:9" x14ac:dyDescent="0.25">
      <c r="F61" s="240"/>
      <c r="G61" s="241"/>
      <c r="H61" s="241"/>
      <c r="I61" s="242"/>
    </row>
    <row r="62" spans="6:9" x14ac:dyDescent="0.25">
      <c r="F62" s="240"/>
      <c r="G62" s="241"/>
      <c r="H62" s="241"/>
      <c r="I62" s="242"/>
    </row>
    <row r="63" spans="6:9" x14ac:dyDescent="0.25">
      <c r="F63" s="240"/>
      <c r="G63" s="241"/>
      <c r="H63" s="241"/>
      <c r="I63" s="242"/>
    </row>
    <row r="64" spans="6:9" x14ac:dyDescent="0.25">
      <c r="F64" s="240"/>
      <c r="G64" s="241"/>
      <c r="H64" s="241"/>
      <c r="I64" s="242"/>
    </row>
    <row r="65" spans="6:9" x14ac:dyDescent="0.25">
      <c r="F65" s="240"/>
      <c r="G65" s="241"/>
      <c r="H65" s="241"/>
      <c r="I65" s="242"/>
    </row>
    <row r="66" spans="6:9" x14ac:dyDescent="0.25">
      <c r="F66" s="240"/>
      <c r="G66" s="241"/>
      <c r="H66" s="241"/>
      <c r="I66" s="242"/>
    </row>
    <row r="67" spans="6:9" x14ac:dyDescent="0.25">
      <c r="F67" s="240"/>
      <c r="G67" s="241"/>
      <c r="H67" s="241"/>
      <c r="I67" s="242"/>
    </row>
    <row r="68" spans="6:9" x14ac:dyDescent="0.25">
      <c r="F68" s="240"/>
      <c r="G68" s="241"/>
      <c r="H68" s="241"/>
      <c r="I68" s="242"/>
    </row>
    <row r="69" spans="6:9" x14ac:dyDescent="0.25">
      <c r="F69" s="240"/>
      <c r="G69" s="241"/>
      <c r="H69" s="241"/>
      <c r="I69" s="242"/>
    </row>
    <row r="70" spans="6:9" x14ac:dyDescent="0.25">
      <c r="F70" s="240"/>
      <c r="G70" s="241"/>
      <c r="H70" s="241"/>
      <c r="I70" s="242"/>
    </row>
    <row r="71" spans="6:9" x14ac:dyDescent="0.25">
      <c r="F71" s="240"/>
      <c r="G71" s="241"/>
      <c r="H71" s="241"/>
      <c r="I71" s="242"/>
    </row>
    <row r="72" spans="6:9" x14ac:dyDescent="0.25">
      <c r="F72" s="240"/>
      <c r="G72" s="241"/>
      <c r="H72" s="241"/>
      <c r="I72" s="242"/>
    </row>
    <row r="73" spans="6:9" x14ac:dyDescent="0.25">
      <c r="F73" s="240"/>
      <c r="G73" s="241"/>
      <c r="H73" s="241"/>
      <c r="I73" s="242"/>
    </row>
    <row r="74" spans="6:9" x14ac:dyDescent="0.25">
      <c r="F74" s="240"/>
      <c r="G74" s="241"/>
      <c r="H74" s="241"/>
      <c r="I74" s="242"/>
    </row>
    <row r="75" spans="6:9" x14ac:dyDescent="0.25">
      <c r="F75" s="240"/>
      <c r="G75" s="241"/>
      <c r="H75" s="241"/>
      <c r="I75" s="242"/>
    </row>
    <row r="76" spans="6:9" x14ac:dyDescent="0.25">
      <c r="F76" s="240"/>
      <c r="G76" s="241"/>
      <c r="H76" s="241"/>
      <c r="I76" s="242"/>
    </row>
    <row r="77" spans="6:9" x14ac:dyDescent="0.25">
      <c r="F77" s="240"/>
      <c r="G77" s="241"/>
      <c r="H77" s="241"/>
      <c r="I77" s="242"/>
    </row>
    <row r="78" spans="6:9" x14ac:dyDescent="0.25">
      <c r="F78" s="240"/>
      <c r="G78" s="241"/>
      <c r="H78" s="241"/>
      <c r="I78" s="242"/>
    </row>
    <row r="79" spans="6:9" x14ac:dyDescent="0.25">
      <c r="F79" s="240"/>
      <c r="G79" s="241"/>
      <c r="H79" s="241"/>
      <c r="I79" s="242"/>
    </row>
    <row r="80" spans="6:9" x14ac:dyDescent="0.25">
      <c r="F80" s="240"/>
      <c r="G80" s="241"/>
      <c r="H80" s="241"/>
      <c r="I80" s="242"/>
    </row>
    <row r="81" spans="6:9" x14ac:dyDescent="0.25">
      <c r="F81" s="240"/>
      <c r="G81" s="241"/>
      <c r="H81" s="241"/>
      <c r="I81" s="242"/>
    </row>
    <row r="82" spans="6:9" x14ac:dyDescent="0.25">
      <c r="F82" s="240"/>
      <c r="G82" s="241"/>
      <c r="H82" s="241"/>
      <c r="I82" s="242"/>
    </row>
  </sheetData>
  <mergeCells count="4">
    <mergeCell ref="H31:I31"/>
    <mergeCell ref="A1:B1"/>
    <mergeCell ref="A2:B2"/>
    <mergeCell ref="G2:I2"/>
  </mergeCells>
  <phoneticPr fontId="0" type="noConversion"/>
  <pageMargins left="0.59055118110236227" right="0.39370078740157483" top="0.59055118110236227" bottom="0.59055118110236227" header="0.19685039370078741" footer="0.19685039370078741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outlinePr summaryBelow="0"/>
    <pageSetUpPr fitToPage="1"/>
  </sheetPr>
  <dimension ref="A1:K246"/>
  <sheetViews>
    <sheetView showGridLines="0" showZeros="0" view="pageBreakPreview" zoomScale="110" zoomScaleNormal="110" zoomScaleSheetLayoutView="110" workbookViewId="0">
      <pane ySplit="6" topLeftCell="A7" activePane="bottomLeft" state="frozen"/>
      <selection pane="bottomLeft" activeCell="A7" sqref="A7"/>
    </sheetView>
  </sheetViews>
  <sheetFormatPr defaultColWidth="9.109375" defaultRowHeight="13.2" outlineLevelRow="2" x14ac:dyDescent="0.25"/>
  <cols>
    <col min="1" max="1" width="4.44140625" style="96" customWidth="1"/>
    <col min="2" max="2" width="11.5546875" style="96" customWidth="1"/>
    <col min="3" max="3" width="40.44140625" style="96" customWidth="1"/>
    <col min="4" max="4" width="5.5546875" style="96" customWidth="1"/>
    <col min="5" max="5" width="8.5546875" style="107" customWidth="1"/>
    <col min="6" max="6" width="9.88671875" style="96" customWidth="1"/>
    <col min="7" max="7" width="13.88671875" style="96" customWidth="1"/>
    <col min="8" max="11" width="11.109375" style="96" customWidth="1"/>
    <col min="12" max="16384" width="9.109375" style="165"/>
  </cols>
  <sheetData>
    <row r="1" spans="1:11" ht="15.6" x14ac:dyDescent="0.25">
      <c r="A1" s="252" t="s">
        <v>63</v>
      </c>
      <c r="B1" s="154"/>
      <c r="C1" s="154"/>
      <c r="D1" s="154"/>
      <c r="E1" s="154"/>
      <c r="F1" s="154"/>
      <c r="G1" s="154"/>
    </row>
    <row r="2" spans="1:11" ht="14.25" customHeight="1" thickBot="1" x14ac:dyDescent="0.3">
      <c r="B2" s="155"/>
      <c r="C2" s="156"/>
      <c r="D2" s="156"/>
      <c r="E2" s="97"/>
      <c r="F2" s="156"/>
      <c r="G2" s="156"/>
    </row>
    <row r="3" spans="1:11" ht="13.8" thickTop="1" x14ac:dyDescent="0.25">
      <c r="A3" s="253" t="s">
        <v>49</v>
      </c>
      <c r="B3" s="157"/>
      <c r="C3" s="98" t="str">
        <f>CONCATENATE(cislostavby," ",nazevstavby)</f>
        <v>PV190723 Tělocvična Žižkov</v>
      </c>
      <c r="D3" s="99"/>
      <c r="E3" s="100" t="s">
        <v>64</v>
      </c>
      <c r="F3" s="101">
        <f>Rekapitulace!H1</f>
        <v>1</v>
      </c>
      <c r="G3" s="102"/>
    </row>
    <row r="4" spans="1:11" ht="13.8" thickBot="1" x14ac:dyDescent="0.3">
      <c r="A4" s="254" t="s">
        <v>51</v>
      </c>
      <c r="B4" s="158"/>
      <c r="C4" s="103" t="str">
        <f>CONCATENATE(cisloobjektu," ",nazevobjektu)</f>
        <v>0001 střecha</v>
      </c>
      <c r="D4" s="104"/>
      <c r="E4" s="159" t="str">
        <f>Rekapitulace!G2</f>
        <v>střecha</v>
      </c>
      <c r="F4" s="160"/>
      <c r="G4" s="161"/>
    </row>
    <row r="5" spans="1:11" ht="13.8" thickTop="1" x14ac:dyDescent="0.25">
      <c r="A5" s="105"/>
      <c r="B5" s="106"/>
      <c r="C5" s="106"/>
    </row>
    <row r="6" spans="1:11" ht="20.399999999999999" x14ac:dyDescent="0.25">
      <c r="A6" s="108" t="s">
        <v>65</v>
      </c>
      <c r="B6" s="109" t="s">
        <v>66</v>
      </c>
      <c r="C6" s="109" t="s">
        <v>67</v>
      </c>
      <c r="D6" s="109" t="s">
        <v>68</v>
      </c>
      <c r="E6" s="110" t="s">
        <v>69</v>
      </c>
      <c r="F6" s="109" t="s">
        <v>70</v>
      </c>
      <c r="G6" s="111" t="s">
        <v>71</v>
      </c>
      <c r="H6" s="112" t="s">
        <v>72</v>
      </c>
      <c r="I6" s="112" t="s">
        <v>73</v>
      </c>
      <c r="J6" s="112" t="s">
        <v>74</v>
      </c>
      <c r="K6" s="112" t="s">
        <v>75</v>
      </c>
    </row>
    <row r="7" spans="1:11" x14ac:dyDescent="0.25">
      <c r="A7" s="113" t="s">
        <v>76</v>
      </c>
      <c r="B7" s="114" t="s">
        <v>116</v>
      </c>
      <c r="C7" s="115" t="s">
        <v>117</v>
      </c>
      <c r="D7" s="116"/>
      <c r="E7" s="117"/>
      <c r="F7" s="117"/>
      <c r="G7" s="118"/>
      <c r="H7" s="119"/>
      <c r="I7" s="120"/>
      <c r="J7" s="119"/>
      <c r="K7" s="120"/>
    </row>
    <row r="8" spans="1:11" ht="20.399999999999999" outlineLevel="1" x14ac:dyDescent="0.25">
      <c r="A8" s="166">
        <v>1</v>
      </c>
      <c r="B8" s="167" t="s">
        <v>118</v>
      </c>
      <c r="C8" s="168" t="s">
        <v>119</v>
      </c>
      <c r="D8" s="169" t="s">
        <v>99</v>
      </c>
      <c r="E8" s="140">
        <f>SUM(E9:E10)</f>
        <v>3.24</v>
      </c>
      <c r="F8" s="140"/>
      <c r="G8" s="170">
        <f>E8*F8</f>
        <v>0</v>
      </c>
      <c r="H8" s="171">
        <v>0.25824999999986198</v>
      </c>
      <c r="I8" s="171">
        <f>E8*H8</f>
        <v>0.83672999999955289</v>
      </c>
      <c r="J8" s="171">
        <v>0</v>
      </c>
      <c r="K8" s="171">
        <f>E8*J8</f>
        <v>0</v>
      </c>
    </row>
    <row r="9" spans="1:11" outlineLevel="2" x14ac:dyDescent="0.25">
      <c r="A9" s="172"/>
      <c r="B9" s="173"/>
      <c r="C9" s="174" t="s">
        <v>182</v>
      </c>
      <c r="D9" s="175"/>
      <c r="E9" s="176">
        <f>0.3*0.2*(7*2+4)</f>
        <v>1.08</v>
      </c>
      <c r="F9" s="177"/>
      <c r="G9" s="178"/>
      <c r="H9" s="179"/>
      <c r="I9" s="180"/>
      <c r="J9" s="179"/>
      <c r="K9" s="180"/>
    </row>
    <row r="10" spans="1:11" ht="20.399999999999999" outlineLevel="2" x14ac:dyDescent="0.25">
      <c r="A10" s="172"/>
      <c r="B10" s="173"/>
      <c r="C10" s="174" t="s">
        <v>183</v>
      </c>
      <c r="D10" s="175"/>
      <c r="E10" s="176">
        <f>0.3*0.2*(10*2+8*2)</f>
        <v>2.16</v>
      </c>
      <c r="F10" s="177"/>
      <c r="G10" s="178"/>
      <c r="H10" s="179"/>
      <c r="I10" s="180"/>
      <c r="J10" s="179"/>
      <c r="K10" s="180"/>
    </row>
    <row r="11" spans="1:11" x14ac:dyDescent="0.25">
      <c r="A11" s="131"/>
      <c r="B11" s="132" t="s">
        <v>77</v>
      </c>
      <c r="C11" s="133" t="str">
        <f>CONCATENATE(B7," ",C7)</f>
        <v>3 Svislé a kompletní konstrukce</v>
      </c>
      <c r="D11" s="134"/>
      <c r="E11" s="135"/>
      <c r="F11" s="136"/>
      <c r="G11" s="137">
        <f>SUM(G7:G8)</f>
        <v>0</v>
      </c>
      <c r="H11" s="138"/>
      <c r="I11" s="139">
        <f>SUM(I7:I8)</f>
        <v>0.83672999999955289</v>
      </c>
      <c r="J11" s="138"/>
      <c r="K11" s="139">
        <f>SUM(K7:K8)</f>
        <v>0</v>
      </c>
    </row>
    <row r="12" spans="1:11" x14ac:dyDescent="0.25">
      <c r="A12" s="113" t="s">
        <v>76</v>
      </c>
      <c r="B12" s="114" t="s">
        <v>184</v>
      </c>
      <c r="C12" s="115" t="s">
        <v>185</v>
      </c>
      <c r="D12" s="116"/>
      <c r="E12" s="117"/>
      <c r="F12" s="117"/>
      <c r="G12" s="118"/>
      <c r="H12" s="119"/>
      <c r="I12" s="120"/>
      <c r="J12" s="119"/>
      <c r="K12" s="120"/>
    </row>
    <row r="13" spans="1:11" ht="20.399999999999999" outlineLevel="1" x14ac:dyDescent="0.25">
      <c r="A13" s="166">
        <v>2</v>
      </c>
      <c r="B13" s="167" t="s">
        <v>186</v>
      </c>
      <c r="C13" s="168" t="s">
        <v>187</v>
      </c>
      <c r="D13" s="169" t="s">
        <v>99</v>
      </c>
      <c r="E13" s="140">
        <f>SUM(E14:E15)</f>
        <v>3.24</v>
      </c>
      <c r="F13" s="140"/>
      <c r="G13" s="170">
        <f>E13*F13</f>
        <v>0</v>
      </c>
      <c r="H13" s="171">
        <v>3.7599999999999999E-3</v>
      </c>
      <c r="I13" s="171">
        <f>E13*H13</f>
        <v>1.2182400000000001E-2</v>
      </c>
      <c r="J13" s="171">
        <v>0</v>
      </c>
      <c r="K13" s="171">
        <f>E13*J13</f>
        <v>0</v>
      </c>
    </row>
    <row r="14" spans="1:11" outlineLevel="2" x14ac:dyDescent="0.25">
      <c r="A14" s="172"/>
      <c r="B14" s="173"/>
      <c r="C14" s="174" t="s">
        <v>182</v>
      </c>
      <c r="D14" s="175"/>
      <c r="E14" s="176">
        <f>0.3*0.2*(7*2+4)</f>
        <v>1.08</v>
      </c>
      <c r="F14" s="177"/>
      <c r="G14" s="178"/>
      <c r="H14" s="179"/>
      <c r="I14" s="180"/>
      <c r="J14" s="179"/>
      <c r="K14" s="180"/>
    </row>
    <row r="15" spans="1:11" ht="20.399999999999999" outlineLevel="2" x14ac:dyDescent="0.25">
      <c r="A15" s="172"/>
      <c r="B15" s="173"/>
      <c r="C15" s="174" t="s">
        <v>183</v>
      </c>
      <c r="D15" s="175"/>
      <c r="E15" s="176">
        <f>0.3*0.2*(10*2+8*2)</f>
        <v>2.16</v>
      </c>
      <c r="F15" s="177"/>
      <c r="G15" s="178"/>
      <c r="H15" s="179"/>
      <c r="I15" s="180"/>
      <c r="J15" s="179"/>
      <c r="K15" s="180"/>
    </row>
    <row r="16" spans="1:11" x14ac:dyDescent="0.25">
      <c r="A16" s="131"/>
      <c r="B16" s="132" t="s">
        <v>77</v>
      </c>
      <c r="C16" s="133" t="str">
        <f>CONCATENATE(B12," ",C12)</f>
        <v>6 Úpravy povrchů</v>
      </c>
      <c r="D16" s="134"/>
      <c r="E16" s="135"/>
      <c r="F16" s="136"/>
      <c r="G16" s="137">
        <f>SUM(G12:G13)</f>
        <v>0</v>
      </c>
      <c r="H16" s="138"/>
      <c r="I16" s="139">
        <f>SUM(I12:I13)</f>
        <v>1.2182400000000001E-2</v>
      </c>
      <c r="J16" s="138"/>
      <c r="K16" s="139">
        <f>SUM(K12:K13)</f>
        <v>0</v>
      </c>
    </row>
    <row r="17" spans="1:11" x14ac:dyDescent="0.25">
      <c r="A17" s="113" t="s">
        <v>76</v>
      </c>
      <c r="B17" s="114" t="s">
        <v>160</v>
      </c>
      <c r="C17" s="115" t="s">
        <v>161</v>
      </c>
      <c r="D17" s="116"/>
      <c r="E17" s="117"/>
      <c r="F17" s="117"/>
      <c r="G17" s="118"/>
      <c r="H17" s="119"/>
      <c r="I17" s="120"/>
      <c r="J17" s="119"/>
      <c r="K17" s="120"/>
    </row>
    <row r="18" spans="1:11" outlineLevel="1" x14ac:dyDescent="0.25">
      <c r="A18" s="166">
        <v>3</v>
      </c>
      <c r="B18" s="167" t="s">
        <v>286</v>
      </c>
      <c r="C18" s="168" t="s">
        <v>287</v>
      </c>
      <c r="D18" s="169"/>
      <c r="E18" s="140">
        <f>SUM(E19:E19)</f>
        <v>5.04</v>
      </c>
      <c r="F18" s="140"/>
      <c r="G18" s="170">
        <f>E18*F18</f>
        <v>0</v>
      </c>
      <c r="H18" s="171">
        <v>6.7000000000000002E-4</v>
      </c>
      <c r="I18" s="171">
        <f>E18*H18</f>
        <v>3.3768000000000001E-3</v>
      </c>
      <c r="J18" s="171">
        <v>8.2000000000000003E-2</v>
      </c>
      <c r="K18" s="171">
        <f>E18*J18</f>
        <v>0.41328000000000004</v>
      </c>
    </row>
    <row r="19" spans="1:11" outlineLevel="2" x14ac:dyDescent="0.25">
      <c r="A19" s="128"/>
      <c r="B19" s="129"/>
      <c r="C19" s="152" t="s">
        <v>284</v>
      </c>
      <c r="D19" s="153"/>
      <c r="E19" s="141">
        <f>2.8*1.8</f>
        <v>5.04</v>
      </c>
      <c r="F19" s="142"/>
      <c r="G19" s="143"/>
      <c r="H19" s="144"/>
      <c r="I19" s="145"/>
      <c r="J19" s="144"/>
      <c r="K19" s="145"/>
    </row>
    <row r="20" spans="1:11" outlineLevel="1" x14ac:dyDescent="0.25">
      <c r="A20" s="166">
        <v>4</v>
      </c>
      <c r="B20" s="167" t="s">
        <v>82</v>
      </c>
      <c r="C20" s="168" t="s">
        <v>83</v>
      </c>
      <c r="D20" s="169" t="s">
        <v>84</v>
      </c>
      <c r="E20" s="140">
        <f>K30+K52+K83+K169</f>
        <v>28.426779999997535</v>
      </c>
      <c r="F20" s="140"/>
      <c r="G20" s="170">
        <f t="shared" ref="G20:G29" si="0">E20*F20</f>
        <v>0</v>
      </c>
      <c r="H20" s="171">
        <v>0</v>
      </c>
      <c r="I20" s="171">
        <f t="shared" ref="I20:I29" si="1">E20*H20</f>
        <v>0</v>
      </c>
      <c r="J20" s="171">
        <v>0</v>
      </c>
      <c r="K20" s="171"/>
    </row>
    <row r="21" spans="1:11" outlineLevel="1" x14ac:dyDescent="0.25">
      <c r="A21" s="166">
        <v>5</v>
      </c>
      <c r="B21" s="167" t="s">
        <v>85</v>
      </c>
      <c r="C21" s="168" t="s">
        <v>86</v>
      </c>
      <c r="D21" s="169" t="s">
        <v>84</v>
      </c>
      <c r="E21" s="140">
        <f>E20*2</f>
        <v>56.85355999999507</v>
      </c>
      <c r="F21" s="140"/>
      <c r="G21" s="170">
        <f t="shared" si="0"/>
        <v>0</v>
      </c>
      <c r="H21" s="171">
        <v>0</v>
      </c>
      <c r="I21" s="171">
        <f t="shared" si="1"/>
        <v>0</v>
      </c>
      <c r="J21" s="171">
        <v>0</v>
      </c>
      <c r="K21" s="171"/>
    </row>
    <row r="22" spans="1:11" outlineLevel="1" x14ac:dyDescent="0.25">
      <c r="A22" s="166">
        <v>6</v>
      </c>
      <c r="B22" s="167" t="s">
        <v>87</v>
      </c>
      <c r="C22" s="168" t="s">
        <v>88</v>
      </c>
      <c r="D22" s="169" t="s">
        <v>84</v>
      </c>
      <c r="E22" s="140">
        <f>E20</f>
        <v>28.426779999997535</v>
      </c>
      <c r="F22" s="140"/>
      <c r="G22" s="170">
        <f t="shared" si="0"/>
        <v>0</v>
      </c>
      <c r="H22" s="171">
        <v>0</v>
      </c>
      <c r="I22" s="171">
        <f t="shared" si="1"/>
        <v>0</v>
      </c>
      <c r="J22" s="171">
        <v>0</v>
      </c>
      <c r="K22" s="171"/>
    </row>
    <row r="23" spans="1:11" outlineLevel="1" x14ac:dyDescent="0.25">
      <c r="A23" s="166">
        <v>7</v>
      </c>
      <c r="B23" s="167" t="s">
        <v>89</v>
      </c>
      <c r="C23" s="168" t="s">
        <v>90</v>
      </c>
      <c r="D23" s="169" t="s">
        <v>84</v>
      </c>
      <c r="E23" s="140">
        <f>E22*19</f>
        <v>540.1088199999532</v>
      </c>
      <c r="F23" s="140"/>
      <c r="G23" s="170">
        <f t="shared" si="0"/>
        <v>0</v>
      </c>
      <c r="H23" s="171">
        <v>0</v>
      </c>
      <c r="I23" s="171">
        <f t="shared" si="1"/>
        <v>0</v>
      </c>
      <c r="J23" s="171">
        <v>0</v>
      </c>
      <c r="K23" s="171"/>
    </row>
    <row r="24" spans="1:11" outlineLevel="1" x14ac:dyDescent="0.25">
      <c r="A24" s="166">
        <v>8</v>
      </c>
      <c r="B24" s="167" t="s">
        <v>91</v>
      </c>
      <c r="C24" s="168" t="s">
        <v>92</v>
      </c>
      <c r="D24" s="169" t="s">
        <v>84</v>
      </c>
      <c r="E24" s="140">
        <f>E20</f>
        <v>28.426779999997535</v>
      </c>
      <c r="F24" s="140"/>
      <c r="G24" s="170">
        <f t="shared" si="0"/>
        <v>0</v>
      </c>
      <c r="H24" s="171">
        <v>0</v>
      </c>
      <c r="I24" s="171">
        <f t="shared" si="1"/>
        <v>0</v>
      </c>
      <c r="J24" s="171">
        <v>0</v>
      </c>
      <c r="K24" s="171"/>
    </row>
    <row r="25" spans="1:11" outlineLevel="1" x14ac:dyDescent="0.25">
      <c r="A25" s="166">
        <v>9</v>
      </c>
      <c r="B25" s="167" t="s">
        <v>93</v>
      </c>
      <c r="C25" s="168" t="s">
        <v>94</v>
      </c>
      <c r="D25" s="169" t="s">
        <v>84</v>
      </c>
      <c r="E25" s="140">
        <f>E24*5</f>
        <v>142.13389999998768</v>
      </c>
      <c r="F25" s="140"/>
      <c r="G25" s="170">
        <f t="shared" si="0"/>
        <v>0</v>
      </c>
      <c r="H25" s="171">
        <v>0</v>
      </c>
      <c r="I25" s="171">
        <f t="shared" si="1"/>
        <v>0</v>
      </c>
      <c r="J25" s="171">
        <v>0</v>
      </c>
      <c r="K25" s="171"/>
    </row>
    <row r="26" spans="1:11" outlineLevel="1" x14ac:dyDescent="0.25">
      <c r="A26" s="166">
        <v>10</v>
      </c>
      <c r="B26" s="167" t="s">
        <v>111</v>
      </c>
      <c r="C26" s="168" t="s">
        <v>168</v>
      </c>
      <c r="D26" s="169" t="s">
        <v>84</v>
      </c>
      <c r="E26" s="140">
        <f>E20-E27-E28</f>
        <v>12.539280000000488</v>
      </c>
      <c r="F26" s="140"/>
      <c r="G26" s="170">
        <f>E26*F26</f>
        <v>0</v>
      </c>
      <c r="H26" s="171">
        <v>0</v>
      </c>
      <c r="I26" s="171">
        <f>E26*H26</f>
        <v>0</v>
      </c>
      <c r="J26" s="171">
        <v>0</v>
      </c>
      <c r="K26" s="171"/>
    </row>
    <row r="27" spans="1:11" outlineLevel="1" x14ac:dyDescent="0.25">
      <c r="A27" s="166">
        <v>11</v>
      </c>
      <c r="B27" s="167" t="s">
        <v>112</v>
      </c>
      <c r="C27" s="168" t="s">
        <v>113</v>
      </c>
      <c r="D27" s="169" t="s">
        <v>84</v>
      </c>
      <c r="E27" s="140">
        <f>K52</f>
        <v>4.9626000000003234</v>
      </c>
      <c r="F27" s="140"/>
      <c r="G27" s="170">
        <f>E27*F27</f>
        <v>0</v>
      </c>
      <c r="H27" s="171">
        <v>0</v>
      </c>
      <c r="I27" s="171">
        <f>E27*H27</f>
        <v>0</v>
      </c>
      <c r="J27" s="171">
        <v>0</v>
      </c>
      <c r="K27" s="171"/>
    </row>
    <row r="28" spans="1:11" outlineLevel="1" x14ac:dyDescent="0.25">
      <c r="A28" s="166">
        <v>12</v>
      </c>
      <c r="B28" s="167" t="s">
        <v>115</v>
      </c>
      <c r="C28" s="168" t="s">
        <v>114</v>
      </c>
      <c r="D28" s="169" t="s">
        <v>84</v>
      </c>
      <c r="E28" s="140">
        <f>K169</f>
        <v>10.924899999996725</v>
      </c>
      <c r="F28" s="140"/>
      <c r="G28" s="170">
        <f>E28*F28</f>
        <v>0</v>
      </c>
      <c r="H28" s="171">
        <v>0</v>
      </c>
      <c r="I28" s="171">
        <f>E28*H28</f>
        <v>0</v>
      </c>
      <c r="J28" s="171">
        <v>0</v>
      </c>
      <c r="K28" s="171"/>
    </row>
    <row r="29" spans="1:11" ht="20.399999999999999" outlineLevel="1" x14ac:dyDescent="0.25">
      <c r="A29" s="166">
        <v>13</v>
      </c>
      <c r="B29" s="167" t="s">
        <v>188</v>
      </c>
      <c r="C29" s="168" t="s">
        <v>189</v>
      </c>
      <c r="D29" s="182" t="s">
        <v>190</v>
      </c>
      <c r="E29" s="140">
        <v>5</v>
      </c>
      <c r="F29" s="140"/>
      <c r="G29" s="170">
        <f t="shared" si="0"/>
        <v>0</v>
      </c>
      <c r="H29" s="171">
        <v>0</v>
      </c>
      <c r="I29" s="171">
        <f t="shared" si="1"/>
        <v>0</v>
      </c>
      <c r="J29" s="171">
        <v>0</v>
      </c>
      <c r="K29" s="171"/>
    </row>
    <row r="30" spans="1:11" x14ac:dyDescent="0.25">
      <c r="A30" s="131"/>
      <c r="B30" s="132" t="s">
        <v>77</v>
      </c>
      <c r="C30" s="133" t="str">
        <f>CONCATENATE(B17," ",C17)</f>
        <v>96 Bourání</v>
      </c>
      <c r="D30" s="134"/>
      <c r="E30" s="135"/>
      <c r="F30" s="136"/>
      <c r="G30" s="137">
        <f>SUM(G17:G29)</f>
        <v>0</v>
      </c>
      <c r="H30" s="138"/>
      <c r="I30" s="139">
        <f>SUM(I17:I29)</f>
        <v>3.3768000000000001E-3</v>
      </c>
      <c r="J30" s="138"/>
      <c r="K30" s="139">
        <f>SUM(K17:K19)</f>
        <v>0.41328000000000004</v>
      </c>
    </row>
    <row r="31" spans="1:11" x14ac:dyDescent="0.25">
      <c r="A31" s="113" t="s">
        <v>76</v>
      </c>
      <c r="B31" s="114" t="s">
        <v>152</v>
      </c>
      <c r="C31" s="183" t="s">
        <v>202</v>
      </c>
      <c r="D31" s="116"/>
      <c r="E31" s="117"/>
      <c r="F31" s="117"/>
      <c r="G31" s="118"/>
      <c r="H31" s="119"/>
      <c r="I31" s="120"/>
      <c r="J31" s="119"/>
      <c r="K31" s="120"/>
    </row>
    <row r="32" spans="1:11" outlineLevel="1" x14ac:dyDescent="0.25">
      <c r="A32" s="166">
        <v>14</v>
      </c>
      <c r="B32" s="167" t="s">
        <v>153</v>
      </c>
      <c r="C32" s="168" t="s">
        <v>154</v>
      </c>
      <c r="D32" s="169" t="s">
        <v>84</v>
      </c>
      <c r="E32" s="140">
        <f>I11+I16+I30</f>
        <v>0.85228919999955288</v>
      </c>
      <c r="F32" s="140"/>
      <c r="G32" s="170">
        <f>E32*F32</f>
        <v>0</v>
      </c>
      <c r="H32" s="171"/>
      <c r="I32" s="171">
        <f>E32*H32</f>
        <v>0</v>
      </c>
      <c r="J32" s="171">
        <v>0</v>
      </c>
      <c r="K32" s="171">
        <f>E32*J32</f>
        <v>0</v>
      </c>
    </row>
    <row r="33" spans="1:11" x14ac:dyDescent="0.25">
      <c r="A33" s="131"/>
      <c r="B33" s="132" t="s">
        <v>77</v>
      </c>
      <c r="C33" s="133" t="str">
        <f>CONCATENATE(B31," ",C31)</f>
        <v>99 Přesun hmot</v>
      </c>
      <c r="D33" s="134"/>
      <c r="E33" s="135"/>
      <c r="F33" s="136"/>
      <c r="G33" s="137">
        <f>SUM(G31:G32)</f>
        <v>0</v>
      </c>
      <c r="H33" s="138"/>
      <c r="I33" s="139">
        <f>SUM(I31:I32)</f>
        <v>0</v>
      </c>
      <c r="J33" s="138"/>
      <c r="K33" s="139">
        <f>SUM(K31:K32)</f>
        <v>0</v>
      </c>
    </row>
    <row r="34" spans="1:11" x14ac:dyDescent="0.25">
      <c r="A34" s="113" t="s">
        <v>76</v>
      </c>
      <c r="B34" s="114" t="s">
        <v>95</v>
      </c>
      <c r="C34" s="115" t="s">
        <v>96</v>
      </c>
      <c r="D34" s="116"/>
      <c r="E34" s="117"/>
      <c r="F34" s="117"/>
      <c r="G34" s="118"/>
      <c r="H34" s="119"/>
      <c r="I34" s="120"/>
      <c r="J34" s="119"/>
      <c r="K34" s="120"/>
    </row>
    <row r="35" spans="1:11" ht="20.399999999999999" outlineLevel="1" x14ac:dyDescent="0.25">
      <c r="A35" s="166">
        <v>15</v>
      </c>
      <c r="B35" s="167" t="s">
        <v>121</v>
      </c>
      <c r="C35" s="168" t="s">
        <v>122</v>
      </c>
      <c r="D35" s="169" t="s">
        <v>99</v>
      </c>
      <c r="E35" s="140">
        <f>SUM(E36)</f>
        <v>13.65</v>
      </c>
      <c r="F35" s="140"/>
      <c r="G35" s="170">
        <f>E35*F35</f>
        <v>0</v>
      </c>
      <c r="H35" s="171"/>
      <c r="I35" s="171">
        <f>E35*H35</f>
        <v>0</v>
      </c>
      <c r="J35" s="171">
        <v>0</v>
      </c>
      <c r="K35" s="171">
        <f>E35*J35</f>
        <v>0</v>
      </c>
    </row>
    <row r="36" spans="1:11" outlineLevel="2" x14ac:dyDescent="0.25">
      <c r="A36" s="172"/>
      <c r="B36" s="173"/>
      <c r="C36" s="174" t="s">
        <v>162</v>
      </c>
      <c r="D36" s="175"/>
      <c r="E36" s="176">
        <f>1.95*7</f>
        <v>13.65</v>
      </c>
      <c r="F36" s="177"/>
      <c r="G36" s="178"/>
      <c r="H36" s="179"/>
      <c r="I36" s="180"/>
      <c r="J36" s="179"/>
      <c r="K36" s="180"/>
    </row>
    <row r="37" spans="1:11" ht="20.399999999999999" outlineLevel="1" x14ac:dyDescent="0.25">
      <c r="A37" s="166">
        <v>16</v>
      </c>
      <c r="B37" s="167" t="s">
        <v>259</v>
      </c>
      <c r="C37" s="168" t="s">
        <v>260</v>
      </c>
      <c r="D37" s="182" t="s">
        <v>220</v>
      </c>
      <c r="E37" s="140">
        <f>SUM(E38)</f>
        <v>2</v>
      </c>
      <c r="F37" s="140"/>
      <c r="G37" s="170">
        <f>E37*F37</f>
        <v>0</v>
      </c>
      <c r="H37" s="171"/>
      <c r="I37" s="171">
        <f>E37*H37</f>
        <v>0</v>
      </c>
      <c r="J37" s="171">
        <v>0</v>
      </c>
      <c r="K37" s="171">
        <f>E37*J37</f>
        <v>0</v>
      </c>
    </row>
    <row r="38" spans="1:11" outlineLevel="2" x14ac:dyDescent="0.25">
      <c r="A38" s="128"/>
      <c r="B38" s="129"/>
      <c r="C38" s="152" t="s">
        <v>261</v>
      </c>
      <c r="D38" s="153"/>
      <c r="E38" s="141">
        <v>2</v>
      </c>
      <c r="F38" s="142"/>
      <c r="G38" s="143"/>
      <c r="H38" s="144"/>
      <c r="I38" s="145"/>
      <c r="J38" s="144"/>
      <c r="K38" s="145"/>
    </row>
    <row r="39" spans="1:11" outlineLevel="1" x14ac:dyDescent="0.25">
      <c r="A39" s="166">
        <v>17</v>
      </c>
      <c r="B39" s="167" t="s">
        <v>262</v>
      </c>
      <c r="C39" s="168" t="s">
        <v>263</v>
      </c>
      <c r="D39" s="182" t="s">
        <v>220</v>
      </c>
      <c r="E39" s="140">
        <f>SUM(E40)</f>
        <v>2</v>
      </c>
      <c r="F39" s="140"/>
      <c r="G39" s="170">
        <f>E39*F39</f>
        <v>0</v>
      </c>
      <c r="H39" s="171"/>
      <c r="I39" s="171">
        <f>E39*H39</f>
        <v>0</v>
      </c>
      <c r="J39" s="171">
        <v>0</v>
      </c>
      <c r="K39" s="171">
        <f>E39*J39</f>
        <v>0</v>
      </c>
    </row>
    <row r="40" spans="1:11" outlineLevel="2" x14ac:dyDescent="0.25">
      <c r="A40" s="128"/>
      <c r="B40" s="129"/>
      <c r="C40" s="152" t="s">
        <v>261</v>
      </c>
      <c r="D40" s="153"/>
      <c r="E40" s="141">
        <v>2</v>
      </c>
      <c r="F40" s="142"/>
      <c r="G40" s="143"/>
      <c r="H40" s="144"/>
      <c r="I40" s="145"/>
      <c r="J40" s="144"/>
      <c r="K40" s="145"/>
    </row>
    <row r="41" spans="1:11" ht="20.399999999999999" outlineLevel="1" x14ac:dyDescent="0.25">
      <c r="A41" s="166">
        <v>18</v>
      </c>
      <c r="B41" s="167" t="s">
        <v>123</v>
      </c>
      <c r="C41" s="168" t="s">
        <v>124</v>
      </c>
      <c r="D41" s="169" t="s">
        <v>99</v>
      </c>
      <c r="E41" s="140">
        <f>SUM(E42)</f>
        <v>14.4</v>
      </c>
      <c r="F41" s="140"/>
      <c r="G41" s="170">
        <f>E41*F41</f>
        <v>0</v>
      </c>
      <c r="H41" s="171"/>
      <c r="I41" s="171">
        <f>E41*H41</f>
        <v>0</v>
      </c>
      <c r="J41" s="171">
        <v>0</v>
      </c>
      <c r="K41" s="171">
        <f>E41*J41</f>
        <v>0</v>
      </c>
    </row>
    <row r="42" spans="1:11" outlineLevel="2" x14ac:dyDescent="0.25">
      <c r="A42" s="128"/>
      <c r="B42" s="129"/>
      <c r="C42" s="152" t="s">
        <v>163</v>
      </c>
      <c r="D42" s="153"/>
      <c r="E42" s="141">
        <f>4.5*6.4/2</f>
        <v>14.4</v>
      </c>
      <c r="F42" s="142"/>
      <c r="G42" s="143"/>
      <c r="H42" s="144"/>
      <c r="I42" s="145"/>
      <c r="J42" s="144"/>
      <c r="K42" s="145"/>
    </row>
    <row r="43" spans="1:11" outlineLevel="1" x14ac:dyDescent="0.25">
      <c r="A43" s="166">
        <v>19</v>
      </c>
      <c r="B43" s="167" t="s">
        <v>97</v>
      </c>
      <c r="C43" s="168" t="s">
        <v>98</v>
      </c>
      <c r="D43" s="169" t="s">
        <v>99</v>
      </c>
      <c r="E43" s="140">
        <f>SUM(E44:E45)</f>
        <v>780.35000000000014</v>
      </c>
      <c r="F43" s="140"/>
      <c r="G43" s="170">
        <f>E43*F43</f>
        <v>0</v>
      </c>
      <c r="H43" s="171">
        <v>0</v>
      </c>
      <c r="I43" s="171">
        <f>E43*H43</f>
        <v>0</v>
      </c>
      <c r="J43" s="171">
        <v>6.00000000000023E-3</v>
      </c>
      <c r="K43" s="171">
        <f>E43*J43</f>
        <v>4.6821000000001805</v>
      </c>
    </row>
    <row r="44" spans="1:11" ht="30.6" outlineLevel="2" x14ac:dyDescent="0.25">
      <c r="A44" s="128"/>
      <c r="B44" s="129"/>
      <c r="C44" s="152" t="s">
        <v>164</v>
      </c>
      <c r="D44" s="153"/>
      <c r="E44" s="141">
        <f>(1.7+3.6)/2*5+3.6*9.4/2+3.3*4.4/2*2+(2.7+11.8)/2*6.2+(11.8+8.2)/2*5+(6.9+11.3)/2*3+(11.3+7.6)/2*5</f>
        <v>214.19</v>
      </c>
      <c r="F44" s="142"/>
      <c r="G44" s="143"/>
      <c r="H44" s="144"/>
      <c r="I44" s="145"/>
      <c r="J44" s="144"/>
      <c r="K44" s="145"/>
    </row>
    <row r="45" spans="1:11" ht="20.399999999999999" outlineLevel="2" x14ac:dyDescent="0.25">
      <c r="A45" s="128"/>
      <c r="B45" s="129"/>
      <c r="C45" s="152" t="s">
        <v>165</v>
      </c>
      <c r="D45" s="153"/>
      <c r="E45" s="141">
        <f>((25.8+32)/2+(32+29.8)/2)*10.3-(1.7+5.7)/2*5.3-(1.7+3.6)/2*5-3.6*9.4/2</f>
        <v>566.16000000000008</v>
      </c>
      <c r="F45" s="142"/>
      <c r="G45" s="143"/>
      <c r="H45" s="144"/>
      <c r="I45" s="145"/>
      <c r="J45" s="144"/>
      <c r="K45" s="145"/>
    </row>
    <row r="46" spans="1:11" ht="20.399999999999999" outlineLevel="1" x14ac:dyDescent="0.25">
      <c r="A46" s="166">
        <v>20</v>
      </c>
      <c r="B46" s="167" t="s">
        <v>125</v>
      </c>
      <c r="C46" s="168" t="s">
        <v>126</v>
      </c>
      <c r="D46" s="169" t="s">
        <v>99</v>
      </c>
      <c r="E46" s="140">
        <f>SUM(E48)</f>
        <v>28.05</v>
      </c>
      <c r="F46" s="140"/>
      <c r="G46" s="170">
        <f>E46*F46</f>
        <v>0</v>
      </c>
      <c r="H46" s="171">
        <v>0</v>
      </c>
      <c r="I46" s="171">
        <f>E46*H46</f>
        <v>0</v>
      </c>
      <c r="J46" s="171">
        <v>1.00000000000051E-2</v>
      </c>
      <c r="K46" s="171">
        <f>E46*J46</f>
        <v>0.28050000000014308</v>
      </c>
    </row>
    <row r="47" spans="1:11" outlineLevel="2" x14ac:dyDescent="0.25">
      <c r="A47" s="128"/>
      <c r="B47" s="129"/>
      <c r="C47" s="162" t="s">
        <v>127</v>
      </c>
      <c r="D47" s="163"/>
      <c r="E47" s="163"/>
      <c r="F47" s="163"/>
      <c r="G47" s="164"/>
      <c r="H47" s="130"/>
      <c r="I47" s="130"/>
      <c r="J47" s="130"/>
      <c r="K47" s="130"/>
    </row>
    <row r="48" spans="1:11" outlineLevel="2" x14ac:dyDescent="0.25">
      <c r="A48" s="128"/>
      <c r="B48" s="129"/>
      <c r="C48" s="152" t="s">
        <v>166</v>
      </c>
      <c r="D48" s="153"/>
      <c r="E48" s="141">
        <f>1.95*7+4.5*6.4/2</f>
        <v>28.05</v>
      </c>
      <c r="F48" s="142"/>
      <c r="G48" s="143"/>
      <c r="H48" s="144"/>
      <c r="I48" s="145"/>
      <c r="J48" s="144"/>
      <c r="K48" s="145"/>
    </row>
    <row r="49" spans="1:11" outlineLevel="1" x14ac:dyDescent="0.25">
      <c r="A49" s="166">
        <v>21</v>
      </c>
      <c r="B49" s="167" t="s">
        <v>128</v>
      </c>
      <c r="C49" s="168" t="s">
        <v>129</v>
      </c>
      <c r="D49" s="169" t="s">
        <v>99</v>
      </c>
      <c r="E49" s="140">
        <f>SUM(E50)</f>
        <v>169.5</v>
      </c>
      <c r="F49" s="140"/>
      <c r="G49" s="170">
        <f>E49*F49</f>
        <v>0</v>
      </c>
      <c r="H49" s="171">
        <v>0</v>
      </c>
      <c r="I49" s="171">
        <f>E49*H49</f>
        <v>0</v>
      </c>
      <c r="J49" s="171">
        <v>0</v>
      </c>
      <c r="K49" s="171">
        <f>E49*J49</f>
        <v>0</v>
      </c>
    </row>
    <row r="50" spans="1:11" ht="30.6" outlineLevel="2" x14ac:dyDescent="0.25">
      <c r="A50" s="128"/>
      <c r="B50" s="129"/>
      <c r="C50" s="152" t="s">
        <v>167</v>
      </c>
      <c r="D50" s="153"/>
      <c r="E50" s="141">
        <f>(2.7+11.8)/2*6.2+(11.8+8.2)/2*5+(6.9+11.3)/2*3+(11.3+7.6)/2*5</f>
        <v>169.5</v>
      </c>
      <c r="F50" s="142"/>
      <c r="G50" s="143"/>
      <c r="H50" s="144"/>
      <c r="I50" s="145"/>
      <c r="J50" s="144"/>
      <c r="K50" s="145"/>
    </row>
    <row r="51" spans="1:11" outlineLevel="1" x14ac:dyDescent="0.25">
      <c r="A51" s="121">
        <v>22</v>
      </c>
      <c r="B51" s="122" t="s">
        <v>155</v>
      </c>
      <c r="C51" s="123" t="s">
        <v>151</v>
      </c>
      <c r="D51" s="124" t="s">
        <v>60</v>
      </c>
      <c r="E51" s="125">
        <f>SUM(G35:G49)/100</f>
        <v>0</v>
      </c>
      <c r="F51" s="140"/>
      <c r="G51" s="126">
        <f>E51*F51</f>
        <v>0</v>
      </c>
      <c r="H51" s="127">
        <v>0</v>
      </c>
      <c r="I51" s="127">
        <f>E51*H51</f>
        <v>0</v>
      </c>
      <c r="J51" s="127"/>
      <c r="K51" s="127">
        <f>E51*J51</f>
        <v>0</v>
      </c>
    </row>
    <row r="52" spans="1:11" x14ac:dyDescent="0.25">
      <c r="A52" s="131"/>
      <c r="B52" s="132" t="s">
        <v>77</v>
      </c>
      <c r="C52" s="133" t="str">
        <f>CONCATENATE(B34," ",C34)</f>
        <v>712 Živičné krytiny</v>
      </c>
      <c r="D52" s="134"/>
      <c r="E52" s="135"/>
      <c r="F52" s="136"/>
      <c r="G52" s="137">
        <f>SUM(G34:G51)</f>
        <v>0</v>
      </c>
      <c r="H52" s="138"/>
      <c r="I52" s="139">
        <f>SUM(I34:I51)</f>
        <v>0</v>
      </c>
      <c r="J52" s="138"/>
      <c r="K52" s="139">
        <f>SUM(K34:K51)</f>
        <v>4.9626000000003234</v>
      </c>
    </row>
    <row r="53" spans="1:11" x14ac:dyDescent="0.25">
      <c r="A53" s="113" t="s">
        <v>76</v>
      </c>
      <c r="B53" s="184" t="s">
        <v>281</v>
      </c>
      <c r="C53" s="183" t="s">
        <v>282</v>
      </c>
      <c r="D53" s="116"/>
      <c r="E53" s="117"/>
      <c r="F53" s="117"/>
      <c r="G53" s="118"/>
      <c r="H53" s="119"/>
      <c r="I53" s="120"/>
      <c r="J53" s="119"/>
      <c r="K53" s="120"/>
    </row>
    <row r="54" spans="1:11" ht="20.399999999999999" outlineLevel="1" x14ac:dyDescent="0.25">
      <c r="A54" s="166">
        <v>23</v>
      </c>
      <c r="B54" s="167" t="s">
        <v>293</v>
      </c>
      <c r="C54" s="168" t="s">
        <v>294</v>
      </c>
      <c r="D54" s="182" t="s">
        <v>99</v>
      </c>
      <c r="E54" s="140">
        <f>SUM(E55:E55)</f>
        <v>5.04</v>
      </c>
      <c r="F54" s="170"/>
      <c r="G54" s="170">
        <f>E54*F54</f>
        <v>0</v>
      </c>
      <c r="H54" s="171"/>
      <c r="I54" s="171">
        <f>E54*H54</f>
        <v>0</v>
      </c>
      <c r="J54" s="171">
        <v>0</v>
      </c>
      <c r="K54" s="171">
        <f>E54*J54</f>
        <v>0</v>
      </c>
    </row>
    <row r="55" spans="1:11" outlineLevel="2" x14ac:dyDescent="0.25">
      <c r="A55" s="128"/>
      <c r="B55" s="181"/>
      <c r="C55" s="152" t="s">
        <v>284</v>
      </c>
      <c r="D55" s="153"/>
      <c r="E55" s="141">
        <f>2.8*1.8</f>
        <v>5.04</v>
      </c>
      <c r="F55" s="142"/>
      <c r="G55" s="143"/>
      <c r="H55" s="144"/>
      <c r="I55" s="145"/>
      <c r="J55" s="144"/>
      <c r="K55" s="145"/>
    </row>
    <row r="56" spans="1:11" outlineLevel="1" x14ac:dyDescent="0.25">
      <c r="A56" s="121">
        <v>24</v>
      </c>
      <c r="B56" s="122" t="s">
        <v>283</v>
      </c>
      <c r="C56" s="123" t="s">
        <v>285</v>
      </c>
      <c r="D56" s="124" t="s">
        <v>60</v>
      </c>
      <c r="E56" s="125">
        <f>SUM(G54:G55)/100</f>
        <v>0</v>
      </c>
      <c r="F56" s="140"/>
      <c r="G56" s="126">
        <f>E56*F56</f>
        <v>0</v>
      </c>
      <c r="H56" s="127">
        <v>0</v>
      </c>
      <c r="I56" s="127">
        <f>E56*H56</f>
        <v>0</v>
      </c>
      <c r="J56" s="127"/>
      <c r="K56" s="127">
        <f>E56*J56</f>
        <v>0</v>
      </c>
    </row>
    <row r="57" spans="1:11" outlineLevel="1" x14ac:dyDescent="0.25">
      <c r="A57" s="121"/>
      <c r="B57" s="122"/>
      <c r="C57" s="243"/>
      <c r="D57" s="244"/>
      <c r="E57" s="245"/>
      <c r="F57" s="246"/>
      <c r="G57" s="126"/>
      <c r="H57" s="127"/>
      <c r="I57" s="127"/>
      <c r="J57" s="127"/>
      <c r="K57" s="127"/>
    </row>
    <row r="58" spans="1:11" x14ac:dyDescent="0.25">
      <c r="A58" s="131"/>
      <c r="B58" s="132" t="s">
        <v>77</v>
      </c>
      <c r="C58" s="133" t="str">
        <f>CONCATENATE(B53," ",C53)</f>
        <v>761 Konstrukce sklobetonové</v>
      </c>
      <c r="D58" s="134"/>
      <c r="E58" s="135"/>
      <c r="F58" s="136"/>
      <c r="G58" s="137">
        <f>SUM(G53:G55)</f>
        <v>0</v>
      </c>
      <c r="H58" s="138"/>
      <c r="I58" s="139">
        <f>SUM(I53:I55)</f>
        <v>0</v>
      </c>
      <c r="J58" s="138"/>
      <c r="K58" s="139">
        <f>SUM(K53:K55)</f>
        <v>0</v>
      </c>
    </row>
    <row r="59" spans="1:11" x14ac:dyDescent="0.25">
      <c r="A59" s="113" t="s">
        <v>76</v>
      </c>
      <c r="B59" s="114" t="s">
        <v>130</v>
      </c>
      <c r="C59" s="115" t="s">
        <v>131</v>
      </c>
      <c r="D59" s="116"/>
      <c r="E59" s="117"/>
      <c r="F59" s="117"/>
      <c r="G59" s="118"/>
      <c r="H59" s="119"/>
      <c r="I59" s="120"/>
      <c r="J59" s="119"/>
      <c r="K59" s="120"/>
    </row>
    <row r="60" spans="1:11" ht="20.399999999999999" outlineLevel="1" x14ac:dyDescent="0.25">
      <c r="A60" s="166">
        <v>25</v>
      </c>
      <c r="B60" s="167" t="s">
        <v>133</v>
      </c>
      <c r="C60" s="168" t="s">
        <v>134</v>
      </c>
      <c r="D60" s="169" t="s">
        <v>132</v>
      </c>
      <c r="E60" s="140">
        <f>SUM(E61:E62)</f>
        <v>33</v>
      </c>
      <c r="F60" s="140"/>
      <c r="G60" s="170">
        <f>E60*F60</f>
        <v>0</v>
      </c>
      <c r="H60" s="171"/>
      <c r="I60" s="171">
        <f>E60*H60</f>
        <v>0</v>
      </c>
      <c r="J60" s="171">
        <v>0</v>
      </c>
      <c r="K60" s="171">
        <f>E60*J60</f>
        <v>0</v>
      </c>
    </row>
    <row r="61" spans="1:11" outlineLevel="2" x14ac:dyDescent="0.25">
      <c r="A61" s="128"/>
      <c r="B61" s="181"/>
      <c r="C61" s="152" t="s">
        <v>209</v>
      </c>
      <c r="D61" s="153"/>
      <c r="E61" s="141">
        <v>25</v>
      </c>
      <c r="F61" s="142"/>
      <c r="G61" s="143"/>
      <c r="H61" s="144"/>
      <c r="I61" s="145"/>
      <c r="J61" s="144"/>
      <c r="K61" s="145"/>
    </row>
    <row r="62" spans="1:11" ht="20.399999999999999" outlineLevel="2" x14ac:dyDescent="0.25">
      <c r="A62" s="128"/>
      <c r="B62" s="181"/>
      <c r="C62" s="152" t="s">
        <v>210</v>
      </c>
      <c r="D62" s="153"/>
      <c r="E62" s="141">
        <v>8</v>
      </c>
      <c r="F62" s="142"/>
      <c r="G62" s="143"/>
      <c r="H62" s="144"/>
      <c r="I62" s="145"/>
      <c r="J62" s="144"/>
      <c r="K62" s="145"/>
    </row>
    <row r="63" spans="1:11" ht="20.399999999999999" outlineLevel="1" x14ac:dyDescent="0.25">
      <c r="A63" s="166">
        <v>26</v>
      </c>
      <c r="B63" s="167" t="s">
        <v>135</v>
      </c>
      <c r="C63" s="168" t="s">
        <v>136</v>
      </c>
      <c r="D63" s="169" t="s">
        <v>99</v>
      </c>
      <c r="E63" s="140">
        <f>SUM(E64:E66)</f>
        <v>808.40000000000009</v>
      </c>
      <c r="F63" s="140"/>
      <c r="G63" s="170">
        <f>E63*F63</f>
        <v>0</v>
      </c>
      <c r="H63" s="171"/>
      <c r="I63" s="171">
        <f>E63*H63</f>
        <v>0</v>
      </c>
      <c r="J63" s="171">
        <v>0</v>
      </c>
      <c r="K63" s="171">
        <f>E63*J63</f>
        <v>0</v>
      </c>
    </row>
    <row r="64" spans="1:11" ht="30.6" outlineLevel="2" x14ac:dyDescent="0.25">
      <c r="A64" s="128"/>
      <c r="B64" s="129"/>
      <c r="C64" s="152" t="s">
        <v>164</v>
      </c>
      <c r="D64" s="153"/>
      <c r="E64" s="141">
        <f>(1.7+3.6)/2*5+3.6*9.4/2+3.3*4.4/2*2+(2.7+11.8)/2*6.2+(11.8+8.2)/2*5+(6.9+11.3)/2*3+(11.3+7.6)/2*5</f>
        <v>214.19</v>
      </c>
      <c r="F64" s="142"/>
      <c r="G64" s="143"/>
      <c r="H64" s="144"/>
      <c r="I64" s="145"/>
      <c r="J64" s="144"/>
      <c r="K64" s="145"/>
    </row>
    <row r="65" spans="1:11" ht="20.399999999999999" outlineLevel="2" x14ac:dyDescent="0.25">
      <c r="A65" s="128"/>
      <c r="B65" s="129"/>
      <c r="C65" s="152" t="s">
        <v>165</v>
      </c>
      <c r="D65" s="153"/>
      <c r="E65" s="141">
        <f>((25.8+32)/2+(32+29.8)/2)*10.3-(1.7+5.7)/2*5.3-(1.7+3.6)/2*5-3.6*9.4/2</f>
        <v>566.16000000000008</v>
      </c>
      <c r="F65" s="142"/>
      <c r="G65" s="143"/>
      <c r="H65" s="144"/>
      <c r="I65" s="145"/>
      <c r="J65" s="144"/>
      <c r="K65" s="145"/>
    </row>
    <row r="66" spans="1:11" outlineLevel="2" x14ac:dyDescent="0.25">
      <c r="A66" s="128"/>
      <c r="B66" s="129"/>
      <c r="C66" s="152" t="s">
        <v>166</v>
      </c>
      <c r="D66" s="153"/>
      <c r="E66" s="141">
        <f>1.95*7+4.5*6.4/2</f>
        <v>28.05</v>
      </c>
      <c r="F66" s="142"/>
      <c r="G66" s="143"/>
      <c r="H66" s="144"/>
      <c r="I66" s="145"/>
      <c r="J66" s="144"/>
      <c r="K66" s="145"/>
    </row>
    <row r="67" spans="1:11" outlineLevel="1" x14ac:dyDescent="0.25">
      <c r="A67" s="166">
        <v>27</v>
      </c>
      <c r="B67" s="167" t="s">
        <v>137</v>
      </c>
      <c r="C67" s="168" t="s">
        <v>138</v>
      </c>
      <c r="D67" s="169" t="s">
        <v>99</v>
      </c>
      <c r="E67" s="140">
        <f>SUM(E68:E70)</f>
        <v>808.40000000000009</v>
      </c>
      <c r="F67" s="140"/>
      <c r="G67" s="170">
        <f>E67*F67</f>
        <v>0</v>
      </c>
      <c r="H67" s="171"/>
      <c r="I67" s="171">
        <f>E67*H67</f>
        <v>0</v>
      </c>
      <c r="J67" s="171">
        <v>1.50000000000006E-2</v>
      </c>
      <c r="K67" s="171">
        <f>E67*J67</f>
        <v>12.126000000000486</v>
      </c>
    </row>
    <row r="68" spans="1:11" ht="30.6" outlineLevel="2" x14ac:dyDescent="0.25">
      <c r="A68" s="128"/>
      <c r="B68" s="129"/>
      <c r="C68" s="152" t="s">
        <v>164</v>
      </c>
      <c r="D68" s="153"/>
      <c r="E68" s="141">
        <f>(1.7+3.6)/2*5+3.6*9.4/2+3.3*4.4/2*2+(2.7+11.8)/2*6.2+(11.8+8.2)/2*5+(6.9+11.3)/2*3+(11.3+7.6)/2*5</f>
        <v>214.19</v>
      </c>
      <c r="F68" s="142"/>
      <c r="G68" s="143"/>
      <c r="H68" s="144"/>
      <c r="I68" s="145"/>
      <c r="J68" s="144"/>
      <c r="K68" s="145"/>
    </row>
    <row r="69" spans="1:11" ht="20.399999999999999" outlineLevel="2" x14ac:dyDescent="0.25">
      <c r="A69" s="128"/>
      <c r="B69" s="129"/>
      <c r="C69" s="152" t="s">
        <v>165</v>
      </c>
      <c r="D69" s="153"/>
      <c r="E69" s="141">
        <f>((25.8+32)/2+(32+29.8)/2)*10.3-(1.7+5.7)/2*5.3-(1.7+3.6)/2*5-3.6*9.4/2</f>
        <v>566.16000000000008</v>
      </c>
      <c r="F69" s="142"/>
      <c r="G69" s="143"/>
      <c r="H69" s="144"/>
      <c r="I69" s="145"/>
      <c r="J69" s="144"/>
      <c r="K69" s="145"/>
    </row>
    <row r="70" spans="1:11" outlineLevel="2" x14ac:dyDescent="0.25">
      <c r="A70" s="128"/>
      <c r="B70" s="129"/>
      <c r="C70" s="152" t="s">
        <v>166</v>
      </c>
      <c r="D70" s="153"/>
      <c r="E70" s="141">
        <f>1.95*7+4.5*6.4/2</f>
        <v>28.05</v>
      </c>
      <c r="F70" s="142"/>
      <c r="G70" s="143"/>
      <c r="H70" s="144"/>
      <c r="I70" s="145"/>
      <c r="J70" s="144"/>
      <c r="K70" s="145"/>
    </row>
    <row r="71" spans="1:11" ht="20.399999999999999" outlineLevel="1" x14ac:dyDescent="0.25">
      <c r="A71" s="166">
        <v>28</v>
      </c>
      <c r="B71" s="167" t="s">
        <v>139</v>
      </c>
      <c r="C71" s="168" t="s">
        <v>140</v>
      </c>
      <c r="D71" s="169" t="s">
        <v>99</v>
      </c>
      <c r="E71" s="140">
        <f>SUM(E72:E73)</f>
        <v>780.35000000000014</v>
      </c>
      <c r="F71" s="140"/>
      <c r="G71" s="170">
        <f>E71*F71</f>
        <v>0</v>
      </c>
      <c r="H71" s="171"/>
      <c r="I71" s="171">
        <f>E71*H71</f>
        <v>0</v>
      </c>
      <c r="J71" s="171">
        <v>0</v>
      </c>
      <c r="K71" s="171">
        <f>E71*J71</f>
        <v>0</v>
      </c>
    </row>
    <row r="72" spans="1:11" ht="30.6" outlineLevel="2" x14ac:dyDescent="0.25">
      <c r="A72" s="128"/>
      <c r="B72" s="129"/>
      <c r="C72" s="152" t="s">
        <v>164</v>
      </c>
      <c r="D72" s="153"/>
      <c r="E72" s="141">
        <f>(1.7+3.6)/2*5+3.6*9.4/2+3.3*4.4/2*2+(2.7+11.8)/2*6.2+(11.8+8.2)/2*5+(6.9+11.3)/2*3+(11.3+7.6)/2*5</f>
        <v>214.19</v>
      </c>
      <c r="F72" s="142"/>
      <c r="G72" s="143"/>
      <c r="H72" s="144"/>
      <c r="I72" s="145"/>
      <c r="J72" s="144"/>
      <c r="K72" s="145"/>
    </row>
    <row r="73" spans="1:11" ht="20.399999999999999" outlineLevel="2" x14ac:dyDescent="0.25">
      <c r="A73" s="128"/>
      <c r="B73" s="129"/>
      <c r="C73" s="152" t="s">
        <v>165</v>
      </c>
      <c r="D73" s="153"/>
      <c r="E73" s="141">
        <f>((25.8+32)/2+(32+29.8)/2)*10.3-(1.7+5.7)/2*5.3-(1.7+3.6)/2*5-3.6*9.4/2</f>
        <v>566.16000000000008</v>
      </c>
      <c r="F73" s="142"/>
      <c r="G73" s="143"/>
      <c r="H73" s="144"/>
      <c r="I73" s="145"/>
      <c r="J73" s="144"/>
      <c r="K73" s="145"/>
    </row>
    <row r="74" spans="1:11" ht="20.399999999999999" outlineLevel="1" x14ac:dyDescent="0.25">
      <c r="A74" s="166">
        <v>29</v>
      </c>
      <c r="B74" s="167" t="s">
        <v>141</v>
      </c>
      <c r="C74" s="168" t="s">
        <v>142</v>
      </c>
      <c r="D74" s="169" t="s">
        <v>99</v>
      </c>
      <c r="E74" s="140">
        <f>SUM(E75:E76)</f>
        <v>780.35000000000014</v>
      </c>
      <c r="F74" s="140"/>
      <c r="G74" s="170">
        <f>E74*F74</f>
        <v>0</v>
      </c>
      <c r="H74" s="171"/>
      <c r="I74" s="171">
        <f>E74*H74</f>
        <v>0</v>
      </c>
      <c r="J74" s="171">
        <v>0</v>
      </c>
      <c r="K74" s="171">
        <f>E74*J74</f>
        <v>0</v>
      </c>
    </row>
    <row r="75" spans="1:11" ht="30.6" outlineLevel="2" x14ac:dyDescent="0.25">
      <c r="A75" s="128"/>
      <c r="B75" s="129"/>
      <c r="C75" s="152" t="s">
        <v>164</v>
      </c>
      <c r="D75" s="153"/>
      <c r="E75" s="141">
        <f>(1.7+3.6)/2*5+3.6*9.4/2+3.3*4.4/2*2+(2.7+11.8)/2*6.2+(11.8+8.2)/2*5+(6.9+11.3)/2*3+(11.3+7.6)/2*5</f>
        <v>214.19</v>
      </c>
      <c r="F75" s="142"/>
      <c r="G75" s="143"/>
      <c r="H75" s="144"/>
      <c r="I75" s="145"/>
      <c r="J75" s="144"/>
      <c r="K75" s="145"/>
    </row>
    <row r="76" spans="1:11" ht="20.399999999999999" outlineLevel="2" x14ac:dyDescent="0.25">
      <c r="A76" s="128"/>
      <c r="B76" s="129"/>
      <c r="C76" s="152" t="s">
        <v>165</v>
      </c>
      <c r="D76" s="153"/>
      <c r="E76" s="141">
        <f>((25.8+32)/2+(32+29.8)/2)*10.3-(1.7+5.7)/2*5.3-(1.7+3.6)/2*5-3.6*9.4/2</f>
        <v>566.16000000000008</v>
      </c>
      <c r="F76" s="142"/>
      <c r="G76" s="143"/>
      <c r="H76" s="144"/>
      <c r="I76" s="145"/>
      <c r="J76" s="144"/>
      <c r="K76" s="145"/>
    </row>
    <row r="77" spans="1:11" ht="20.399999999999999" outlineLevel="1" x14ac:dyDescent="0.25">
      <c r="A77" s="166">
        <v>30</v>
      </c>
      <c r="B77" s="167" t="s">
        <v>204</v>
      </c>
      <c r="C77" s="168" t="s">
        <v>203</v>
      </c>
      <c r="D77" s="169" t="s">
        <v>120</v>
      </c>
      <c r="E77" s="140">
        <f>SUM(E78:E79)</f>
        <v>60</v>
      </c>
      <c r="F77" s="140"/>
      <c r="G77" s="170">
        <f>E77*F77</f>
        <v>0</v>
      </c>
      <c r="H77" s="171"/>
      <c r="I77" s="171">
        <f>E77*H77</f>
        <v>0</v>
      </c>
      <c r="J77" s="171"/>
      <c r="K77" s="171">
        <f>E77*J77</f>
        <v>0</v>
      </c>
    </row>
    <row r="78" spans="1:11" outlineLevel="2" x14ac:dyDescent="0.25">
      <c r="A78" s="172"/>
      <c r="B78" s="173"/>
      <c r="C78" s="174" t="s">
        <v>181</v>
      </c>
      <c r="D78" s="175"/>
      <c r="E78" s="176">
        <f>7*2+4</f>
        <v>18</v>
      </c>
      <c r="F78" s="177"/>
      <c r="G78" s="178"/>
      <c r="H78" s="179"/>
      <c r="I78" s="180"/>
      <c r="J78" s="179"/>
      <c r="K78" s="180"/>
    </row>
    <row r="79" spans="1:11" outlineLevel="2" x14ac:dyDescent="0.25">
      <c r="A79" s="172"/>
      <c r="B79" s="173"/>
      <c r="C79" s="174" t="s">
        <v>206</v>
      </c>
      <c r="D79" s="175"/>
      <c r="E79" s="176">
        <v>42</v>
      </c>
      <c r="F79" s="177"/>
      <c r="G79" s="178"/>
      <c r="H79" s="179"/>
      <c r="I79" s="180"/>
      <c r="J79" s="179"/>
      <c r="K79" s="180"/>
    </row>
    <row r="80" spans="1:11" ht="20.399999999999999" outlineLevel="1" x14ac:dyDescent="0.25">
      <c r="A80" s="166">
        <v>31</v>
      </c>
      <c r="B80" s="167" t="s">
        <v>205</v>
      </c>
      <c r="C80" s="168" t="s">
        <v>207</v>
      </c>
      <c r="D80" s="182" t="s">
        <v>190</v>
      </c>
      <c r="E80" s="140">
        <v>1</v>
      </c>
      <c r="F80" s="140"/>
      <c r="G80" s="170">
        <f>E80*F80</f>
        <v>0</v>
      </c>
      <c r="H80" s="171"/>
      <c r="I80" s="171">
        <f>E80*H80</f>
        <v>0</v>
      </c>
      <c r="J80" s="171"/>
      <c r="K80" s="171">
        <f>E80*J80</f>
        <v>0</v>
      </c>
    </row>
    <row r="81" spans="1:11" ht="30.6" outlineLevel="1" x14ac:dyDescent="0.25">
      <c r="A81" s="166">
        <v>32</v>
      </c>
      <c r="B81" s="167" t="s">
        <v>205</v>
      </c>
      <c r="C81" s="168" t="s">
        <v>208</v>
      </c>
      <c r="D81" s="182" t="s">
        <v>190</v>
      </c>
      <c r="E81" s="140">
        <v>1</v>
      </c>
      <c r="F81" s="140"/>
      <c r="G81" s="170">
        <f>E81*F81</f>
        <v>0</v>
      </c>
      <c r="H81" s="171"/>
      <c r="I81" s="171">
        <f>E81*H81</f>
        <v>0</v>
      </c>
      <c r="J81" s="171"/>
      <c r="K81" s="171">
        <f>E81*J81</f>
        <v>0</v>
      </c>
    </row>
    <row r="82" spans="1:11" outlineLevel="1" x14ac:dyDescent="0.25">
      <c r="A82" s="121">
        <v>33</v>
      </c>
      <c r="B82" s="122" t="s">
        <v>157</v>
      </c>
      <c r="C82" s="123" t="s">
        <v>156</v>
      </c>
      <c r="D82" s="124" t="s">
        <v>60</v>
      </c>
      <c r="E82" s="125">
        <f>SUM(G60:G81)/100</f>
        <v>0</v>
      </c>
      <c r="F82" s="140"/>
      <c r="G82" s="126">
        <f>E82*F82</f>
        <v>0</v>
      </c>
      <c r="H82" s="127">
        <v>0</v>
      </c>
      <c r="I82" s="127">
        <f>E82*H82</f>
        <v>0</v>
      </c>
      <c r="J82" s="127"/>
      <c r="K82" s="127">
        <f>E82*J82</f>
        <v>0</v>
      </c>
    </row>
    <row r="83" spans="1:11" x14ac:dyDescent="0.25">
      <c r="A83" s="131"/>
      <c r="B83" s="132" t="s">
        <v>77</v>
      </c>
      <c r="C83" s="133" t="str">
        <f>CONCATENATE(B59," ",C59)</f>
        <v>762 Konstrukce tesařské</v>
      </c>
      <c r="D83" s="134"/>
      <c r="E83" s="135"/>
      <c r="F83" s="136"/>
      <c r="G83" s="137">
        <f>SUM(G59:G81)</f>
        <v>0</v>
      </c>
      <c r="H83" s="138"/>
      <c r="I83" s="139">
        <f>SUM(I59:I74)</f>
        <v>0</v>
      </c>
      <c r="J83" s="138"/>
      <c r="K83" s="139">
        <f>SUM(K59:K81)</f>
        <v>12.126000000000486</v>
      </c>
    </row>
    <row r="84" spans="1:11" x14ac:dyDescent="0.25">
      <c r="A84" s="113" t="s">
        <v>76</v>
      </c>
      <c r="B84" s="114" t="s">
        <v>198</v>
      </c>
      <c r="C84" s="115" t="s">
        <v>199</v>
      </c>
      <c r="D84" s="116"/>
      <c r="E84" s="117"/>
      <c r="F84" s="117"/>
      <c r="G84" s="118"/>
      <c r="H84" s="119"/>
      <c r="I84" s="120"/>
      <c r="J84" s="119"/>
      <c r="K84" s="120"/>
    </row>
    <row r="85" spans="1:11" outlineLevel="1" x14ac:dyDescent="0.25">
      <c r="A85" s="166">
        <v>34</v>
      </c>
      <c r="B85" s="167" t="s">
        <v>271</v>
      </c>
      <c r="C85" s="168" t="s">
        <v>272</v>
      </c>
      <c r="D85" s="182" t="s">
        <v>99</v>
      </c>
      <c r="E85" s="140">
        <f>SUM(E86:E86)</f>
        <v>7.5600000000000005</v>
      </c>
      <c r="F85" s="140"/>
      <c r="G85" s="170">
        <f>E85*F85</f>
        <v>0</v>
      </c>
      <c r="H85" s="171">
        <v>0</v>
      </c>
      <c r="I85" s="171">
        <f>E85*H85</f>
        <v>0</v>
      </c>
      <c r="J85" s="171">
        <v>7.2100000000000003E-3</v>
      </c>
      <c r="K85" s="171">
        <f>E85*J85</f>
        <v>5.4507600000000003E-2</v>
      </c>
    </row>
    <row r="86" spans="1:11" outlineLevel="2" x14ac:dyDescent="0.25">
      <c r="A86" s="128"/>
      <c r="B86" s="129"/>
      <c r="C86" s="152" t="s">
        <v>265</v>
      </c>
      <c r="D86" s="153"/>
      <c r="E86" s="141">
        <f>(1+2)/2*4.2*1.2</f>
        <v>7.5600000000000005</v>
      </c>
      <c r="F86" s="142"/>
      <c r="G86" s="143"/>
      <c r="H86" s="144"/>
      <c r="I86" s="145"/>
      <c r="J86" s="144"/>
      <c r="K86" s="145"/>
    </row>
    <row r="87" spans="1:11" outlineLevel="1" x14ac:dyDescent="0.25">
      <c r="A87" s="166">
        <v>35</v>
      </c>
      <c r="B87" s="167" t="s">
        <v>213</v>
      </c>
      <c r="C87" s="168" t="s">
        <v>214</v>
      </c>
      <c r="D87" s="182" t="s">
        <v>99</v>
      </c>
      <c r="E87" s="140">
        <f>SUM(E88:E88)</f>
        <v>5.5</v>
      </c>
      <c r="F87" s="140"/>
      <c r="G87" s="170">
        <f>E87*F87</f>
        <v>0</v>
      </c>
      <c r="H87" s="171">
        <v>0</v>
      </c>
      <c r="I87" s="171">
        <f>E87*H87</f>
        <v>0</v>
      </c>
      <c r="J87" s="171">
        <v>7.3200000000000001E-3</v>
      </c>
      <c r="K87" s="171">
        <f>E87*J87</f>
        <v>4.0260000000000004E-2</v>
      </c>
    </row>
    <row r="88" spans="1:11" outlineLevel="2" x14ac:dyDescent="0.25">
      <c r="A88" s="128"/>
      <c r="B88" s="129"/>
      <c r="C88" s="152" t="s">
        <v>289</v>
      </c>
      <c r="D88" s="153"/>
      <c r="E88" s="141">
        <f>2.2*2.5</f>
        <v>5.5</v>
      </c>
      <c r="F88" s="142"/>
      <c r="G88" s="143"/>
      <c r="H88" s="144"/>
      <c r="I88" s="145"/>
      <c r="J88" s="144"/>
      <c r="K88" s="145"/>
    </row>
    <row r="89" spans="1:11" outlineLevel="1" x14ac:dyDescent="0.25">
      <c r="A89" s="166">
        <v>36</v>
      </c>
      <c r="B89" s="167" t="s">
        <v>212</v>
      </c>
      <c r="C89" s="168" t="s">
        <v>211</v>
      </c>
      <c r="D89" s="169" t="s">
        <v>132</v>
      </c>
      <c r="E89" s="140">
        <f>SUM(E90:E90)</f>
        <v>27.5</v>
      </c>
      <c r="F89" s="140"/>
      <c r="G89" s="170">
        <f>E89*F89</f>
        <v>0</v>
      </c>
      <c r="H89" s="171">
        <v>0</v>
      </c>
      <c r="I89" s="171">
        <f>E89*H89</f>
        <v>0</v>
      </c>
      <c r="J89" s="171">
        <f>0.00474*2</f>
        <v>9.4800000000000006E-3</v>
      </c>
      <c r="K89" s="171">
        <f>E89*J89</f>
        <v>0.26070000000000004</v>
      </c>
    </row>
    <row r="90" spans="1:11" outlineLevel="2" x14ac:dyDescent="0.25">
      <c r="A90" s="128"/>
      <c r="B90" s="129"/>
      <c r="C90" s="152" t="s">
        <v>245</v>
      </c>
      <c r="D90" s="153"/>
      <c r="E90" s="141">
        <v>27.5</v>
      </c>
      <c r="F90" s="142"/>
      <c r="G90" s="143"/>
      <c r="H90" s="144"/>
      <c r="I90" s="145"/>
      <c r="J90" s="144"/>
      <c r="K90" s="145"/>
    </row>
    <row r="91" spans="1:11" outlineLevel="1" x14ac:dyDescent="0.25">
      <c r="A91" s="166">
        <v>37</v>
      </c>
      <c r="B91" s="167" t="s">
        <v>216</v>
      </c>
      <c r="C91" s="168" t="s">
        <v>217</v>
      </c>
      <c r="D91" s="169" t="s">
        <v>132</v>
      </c>
      <c r="E91" s="140">
        <f>SUM(E92:E92)</f>
        <v>27.5</v>
      </c>
      <c r="F91" s="140"/>
      <c r="G91" s="170">
        <f>E91*F91</f>
        <v>0</v>
      </c>
      <c r="H91" s="171">
        <v>0</v>
      </c>
      <c r="I91" s="171">
        <f>E91*H91</f>
        <v>0</v>
      </c>
      <c r="J91" s="171">
        <v>2.8600000000000001E-3</v>
      </c>
      <c r="K91" s="171">
        <f>E91*J91</f>
        <v>7.8649999999999998E-2</v>
      </c>
    </row>
    <row r="92" spans="1:11" outlineLevel="2" x14ac:dyDescent="0.25">
      <c r="A92" s="128"/>
      <c r="B92" s="129"/>
      <c r="C92" s="152" t="s">
        <v>245</v>
      </c>
      <c r="D92" s="153"/>
      <c r="E92" s="141">
        <v>27.5</v>
      </c>
      <c r="F92" s="142"/>
      <c r="G92" s="143"/>
      <c r="H92" s="144"/>
      <c r="I92" s="145"/>
      <c r="J92" s="144"/>
      <c r="K92" s="145"/>
    </row>
    <row r="93" spans="1:11" outlineLevel="1" x14ac:dyDescent="0.25">
      <c r="A93" s="166">
        <v>38</v>
      </c>
      <c r="B93" s="167" t="s">
        <v>218</v>
      </c>
      <c r="C93" s="168" t="s">
        <v>219</v>
      </c>
      <c r="D93" s="182" t="s">
        <v>220</v>
      </c>
      <c r="E93" s="140">
        <f>SUM(E94:E94)</f>
        <v>9</v>
      </c>
      <c r="F93" s="140"/>
      <c r="G93" s="170">
        <f>E93*F93</f>
        <v>0</v>
      </c>
      <c r="H93" s="171">
        <v>0</v>
      </c>
      <c r="I93" s="171">
        <f>E93*H93</f>
        <v>0</v>
      </c>
      <c r="J93" s="171">
        <v>2.0080000000000001E-2</v>
      </c>
      <c r="K93" s="171">
        <f>E93*J93</f>
        <v>0.18071999999999999</v>
      </c>
    </row>
    <row r="94" spans="1:11" outlineLevel="2" x14ac:dyDescent="0.25">
      <c r="A94" s="128"/>
      <c r="B94" s="129"/>
      <c r="C94" s="152" t="s">
        <v>279</v>
      </c>
      <c r="D94" s="153"/>
      <c r="E94" s="141">
        <v>9</v>
      </c>
      <c r="F94" s="142"/>
      <c r="G94" s="143"/>
      <c r="H94" s="144"/>
      <c r="I94" s="145"/>
      <c r="J94" s="144"/>
      <c r="K94" s="145"/>
    </row>
    <row r="95" spans="1:11" outlineLevel="1" x14ac:dyDescent="0.25">
      <c r="A95" s="166">
        <v>39</v>
      </c>
      <c r="B95" s="167" t="s">
        <v>221</v>
      </c>
      <c r="C95" s="168" t="s">
        <v>222</v>
      </c>
      <c r="D95" s="169" t="s">
        <v>132</v>
      </c>
      <c r="E95" s="140">
        <f>SUM(E96:E98)</f>
        <v>43.244126101815382</v>
      </c>
      <c r="F95" s="140"/>
      <c r="G95" s="170">
        <f>E95*F95</f>
        <v>0</v>
      </c>
      <c r="H95" s="171">
        <v>0</v>
      </c>
      <c r="I95" s="171">
        <f>E95*H95</f>
        <v>0</v>
      </c>
      <c r="J95" s="171">
        <v>2.5000000000000001E-3</v>
      </c>
      <c r="K95" s="171">
        <f>E95*J95</f>
        <v>0.10811031525453846</v>
      </c>
    </row>
    <row r="96" spans="1:11" outlineLevel="2" x14ac:dyDescent="0.25">
      <c r="A96" s="128"/>
      <c r="B96" s="129"/>
      <c r="C96" s="152" t="s">
        <v>246</v>
      </c>
      <c r="D96" s="153"/>
      <c r="E96" s="141">
        <f>6.2+5</f>
        <v>11.2</v>
      </c>
      <c r="F96" s="142"/>
      <c r="G96" s="143"/>
      <c r="H96" s="144"/>
      <c r="I96" s="145"/>
      <c r="J96" s="144"/>
      <c r="K96" s="145"/>
    </row>
    <row r="97" spans="1:11" outlineLevel="2" x14ac:dyDescent="0.25">
      <c r="A97" s="128"/>
      <c r="B97" s="129"/>
      <c r="C97" s="152" t="s">
        <v>247</v>
      </c>
      <c r="D97" s="153"/>
      <c r="E97" s="141">
        <f>3+5</f>
        <v>8</v>
      </c>
      <c r="F97" s="142"/>
      <c r="G97" s="143"/>
      <c r="H97" s="144"/>
      <c r="I97" s="145"/>
      <c r="J97" s="144"/>
      <c r="K97" s="145"/>
    </row>
    <row r="98" spans="1:11" outlineLevel="2" x14ac:dyDescent="0.25">
      <c r="A98" s="128"/>
      <c r="B98" s="129"/>
      <c r="C98" s="152" t="s">
        <v>264</v>
      </c>
      <c r="D98" s="153"/>
      <c r="E98" s="141">
        <f>SQRT(POWER((32-25.8),2)+POWER(10.3,2))*2</f>
        <v>24.044126101815387</v>
      </c>
      <c r="F98" s="142"/>
      <c r="G98" s="143"/>
      <c r="H98" s="144"/>
      <c r="I98" s="145"/>
      <c r="J98" s="144"/>
      <c r="K98" s="145"/>
    </row>
    <row r="99" spans="1:11" outlineLevel="1" x14ac:dyDescent="0.25">
      <c r="A99" s="166">
        <v>40</v>
      </c>
      <c r="B99" s="167" t="s">
        <v>225</v>
      </c>
      <c r="C99" s="168" t="s">
        <v>226</v>
      </c>
      <c r="D99" s="169" t="s">
        <v>132</v>
      </c>
      <c r="E99" s="140">
        <f>SUM(E100:E104)</f>
        <v>34.23829727148329</v>
      </c>
      <c r="F99" s="140"/>
      <c r="G99" s="170">
        <f>E99*F99</f>
        <v>0</v>
      </c>
      <c r="H99" s="171">
        <v>0</v>
      </c>
      <c r="I99" s="171">
        <f>E99*H99</f>
        <v>0</v>
      </c>
      <c r="J99" s="171">
        <v>3.0699999999999998E-3</v>
      </c>
      <c r="K99" s="171">
        <f>E99*J99</f>
        <v>0.10511157262345369</v>
      </c>
    </row>
    <row r="100" spans="1:11" outlineLevel="2" x14ac:dyDescent="0.25">
      <c r="A100" s="128"/>
      <c r="B100" s="129"/>
      <c r="C100" s="152" t="s">
        <v>250</v>
      </c>
      <c r="D100" s="153"/>
      <c r="E100" s="141">
        <f>SQRT(POWER(3.6,2)+POWER(9.4,2))</f>
        <v>10.065783625729296</v>
      </c>
      <c r="F100" s="142"/>
      <c r="G100" s="143"/>
      <c r="H100" s="144"/>
      <c r="I100" s="145"/>
      <c r="J100" s="144"/>
      <c r="K100" s="145"/>
    </row>
    <row r="101" spans="1:11" outlineLevel="2" x14ac:dyDescent="0.25">
      <c r="A101" s="128"/>
      <c r="B101" s="129"/>
      <c r="C101" s="152" t="s">
        <v>251</v>
      </c>
      <c r="D101" s="153"/>
      <c r="E101" s="141">
        <f>SQRT(POWER(3.3,2)+POWER(4.4,2))</f>
        <v>5.5</v>
      </c>
      <c r="F101" s="142"/>
      <c r="G101" s="143"/>
      <c r="H101" s="144"/>
      <c r="I101" s="145"/>
      <c r="J101" s="144"/>
      <c r="K101" s="145"/>
    </row>
    <row r="102" spans="1:11" outlineLevel="2" x14ac:dyDescent="0.25">
      <c r="A102" s="128"/>
      <c r="B102" s="129"/>
      <c r="C102" s="152" t="s">
        <v>252</v>
      </c>
      <c r="D102" s="153"/>
      <c r="E102" s="141">
        <f>SQRT(POWER(3.3,2)+POWER(4.4,2))</f>
        <v>5.5</v>
      </c>
      <c r="F102" s="142"/>
      <c r="G102" s="143"/>
      <c r="H102" s="144"/>
      <c r="I102" s="145"/>
      <c r="J102" s="144"/>
      <c r="K102" s="145"/>
    </row>
    <row r="103" spans="1:11" outlineLevel="2" x14ac:dyDescent="0.25">
      <c r="A103" s="128"/>
      <c r="B103" s="129"/>
      <c r="C103" s="152" t="s">
        <v>253</v>
      </c>
      <c r="D103" s="153"/>
      <c r="E103" s="141">
        <f>SQRT(POWER((3.6-1.7),2)+POWER(5,2))</f>
        <v>5.3488316481265326</v>
      </c>
      <c r="F103" s="142"/>
      <c r="G103" s="143"/>
      <c r="H103" s="144"/>
      <c r="I103" s="145"/>
      <c r="J103" s="144"/>
      <c r="K103" s="145"/>
    </row>
    <row r="104" spans="1:11" outlineLevel="2" x14ac:dyDescent="0.25">
      <c r="A104" s="128"/>
      <c r="B104" s="129"/>
      <c r="C104" s="152" t="s">
        <v>254</v>
      </c>
      <c r="D104" s="153"/>
      <c r="E104" s="141">
        <f>SQRT(POWER(4.5,2)+POWER(6.4,2))</f>
        <v>7.8236819976274603</v>
      </c>
      <c r="F104" s="142"/>
      <c r="G104" s="143"/>
      <c r="H104" s="144"/>
      <c r="I104" s="145"/>
      <c r="J104" s="144"/>
      <c r="K104" s="145"/>
    </row>
    <row r="105" spans="1:11" outlineLevel="1" x14ac:dyDescent="0.25">
      <c r="A105" s="166">
        <v>41</v>
      </c>
      <c r="B105" s="167" t="s">
        <v>236</v>
      </c>
      <c r="C105" s="168" t="s">
        <v>227</v>
      </c>
      <c r="D105" s="169" t="s">
        <v>132</v>
      </c>
      <c r="E105" s="140">
        <f>SUM(E106:E107)</f>
        <v>55.1</v>
      </c>
      <c r="F105" s="140"/>
      <c r="G105" s="170">
        <f>E105*F105</f>
        <v>0</v>
      </c>
      <c r="H105" s="171">
        <v>0</v>
      </c>
      <c r="I105" s="171">
        <f>E105*H105</f>
        <v>0</v>
      </c>
      <c r="J105" s="171">
        <v>1.97E-3</v>
      </c>
      <c r="K105" s="171">
        <f>E105*J105</f>
        <v>0.108547</v>
      </c>
    </row>
    <row r="106" spans="1:11" outlineLevel="2" x14ac:dyDescent="0.25">
      <c r="A106" s="128"/>
      <c r="B106" s="129"/>
      <c r="C106" s="152" t="s">
        <v>248</v>
      </c>
      <c r="D106" s="153"/>
      <c r="E106" s="141">
        <f>11.8+11.3</f>
        <v>23.1</v>
      </c>
      <c r="F106" s="142"/>
      <c r="G106" s="143"/>
      <c r="H106" s="144"/>
      <c r="I106" s="145"/>
      <c r="J106" s="144"/>
      <c r="K106" s="145"/>
    </row>
    <row r="107" spans="1:11" outlineLevel="2" x14ac:dyDescent="0.25">
      <c r="A107" s="128"/>
      <c r="B107" s="129"/>
      <c r="C107" s="152" t="s">
        <v>249</v>
      </c>
      <c r="D107" s="153"/>
      <c r="E107" s="141">
        <v>32</v>
      </c>
      <c r="F107" s="142"/>
      <c r="G107" s="143"/>
      <c r="H107" s="144"/>
      <c r="I107" s="145"/>
      <c r="J107" s="144"/>
      <c r="K107" s="145"/>
    </row>
    <row r="108" spans="1:11" outlineLevel="1" x14ac:dyDescent="0.25">
      <c r="A108" s="166">
        <v>42</v>
      </c>
      <c r="B108" s="167" t="s">
        <v>258</v>
      </c>
      <c r="C108" s="168" t="s">
        <v>215</v>
      </c>
      <c r="D108" s="169" t="s">
        <v>132</v>
      </c>
      <c r="E108" s="140">
        <f>SUM(E109:E114)</f>
        <v>64.144126101815388</v>
      </c>
      <c r="F108" s="140"/>
      <c r="G108" s="170">
        <f>E108*F108</f>
        <v>0</v>
      </c>
      <c r="H108" s="171">
        <v>0</v>
      </c>
      <c r="I108" s="171">
        <f>E108*H108</f>
        <v>0</v>
      </c>
      <c r="J108" s="171">
        <v>3.3700000000000002E-3</v>
      </c>
      <c r="K108" s="171">
        <f>E108*J108</f>
        <v>0.21616570496311788</v>
      </c>
    </row>
    <row r="109" spans="1:11" outlineLevel="2" x14ac:dyDescent="0.25">
      <c r="A109" s="128"/>
      <c r="B109" s="129"/>
      <c r="C109" s="152" t="s">
        <v>246</v>
      </c>
      <c r="D109" s="153"/>
      <c r="E109" s="141">
        <f>6.2+5</f>
        <v>11.2</v>
      </c>
      <c r="F109" s="142"/>
      <c r="G109" s="143"/>
      <c r="H109" s="144"/>
      <c r="I109" s="145"/>
      <c r="J109" s="144"/>
      <c r="K109" s="145"/>
    </row>
    <row r="110" spans="1:11" outlineLevel="2" x14ac:dyDescent="0.25">
      <c r="A110" s="128"/>
      <c r="B110" s="129"/>
      <c r="C110" s="152" t="s">
        <v>247</v>
      </c>
      <c r="D110" s="153"/>
      <c r="E110" s="141">
        <f>3+5</f>
        <v>8</v>
      </c>
      <c r="F110" s="142"/>
      <c r="G110" s="143"/>
      <c r="H110" s="144"/>
      <c r="I110" s="145"/>
      <c r="J110" s="144"/>
      <c r="K110" s="145"/>
    </row>
    <row r="111" spans="1:11" outlineLevel="2" x14ac:dyDescent="0.25">
      <c r="A111" s="128"/>
      <c r="B111" s="129"/>
      <c r="C111" s="152" t="s">
        <v>255</v>
      </c>
      <c r="D111" s="153"/>
      <c r="E111" s="141">
        <f>5+9.4</f>
        <v>14.4</v>
      </c>
      <c r="F111" s="142"/>
      <c r="G111" s="143"/>
      <c r="H111" s="144"/>
      <c r="I111" s="145"/>
      <c r="J111" s="144"/>
      <c r="K111" s="145"/>
    </row>
    <row r="112" spans="1:11" outlineLevel="2" x14ac:dyDescent="0.25">
      <c r="A112" s="128"/>
      <c r="B112" s="129"/>
      <c r="C112" s="152" t="s">
        <v>264</v>
      </c>
      <c r="D112" s="153"/>
      <c r="E112" s="141">
        <f>SQRT(POWER((32-25.8),2)+POWER(10.3,2))*2</f>
        <v>24.044126101815387</v>
      </c>
      <c r="F112" s="142"/>
      <c r="G112" s="143"/>
      <c r="H112" s="144"/>
      <c r="I112" s="145"/>
      <c r="J112" s="144"/>
      <c r="K112" s="145"/>
    </row>
    <row r="113" spans="1:11" outlineLevel="2" x14ac:dyDescent="0.25">
      <c r="A113" s="128"/>
      <c r="B113" s="129"/>
      <c r="C113" s="152" t="s">
        <v>280</v>
      </c>
      <c r="D113" s="153"/>
      <c r="E113" s="141">
        <f>2.5*0.8</f>
        <v>2</v>
      </c>
      <c r="F113" s="142"/>
      <c r="G113" s="143"/>
      <c r="H113" s="144"/>
      <c r="I113" s="145"/>
      <c r="J113" s="144"/>
      <c r="K113" s="145"/>
    </row>
    <row r="114" spans="1:11" outlineLevel="2" x14ac:dyDescent="0.25">
      <c r="A114" s="128"/>
      <c r="B114" s="129"/>
      <c r="C114" s="152" t="s">
        <v>288</v>
      </c>
      <c r="D114" s="153"/>
      <c r="E114" s="141">
        <v>4.5</v>
      </c>
      <c r="F114" s="142"/>
      <c r="G114" s="143"/>
      <c r="H114" s="144"/>
      <c r="I114" s="145"/>
      <c r="J114" s="144"/>
      <c r="K114" s="145"/>
    </row>
    <row r="115" spans="1:11" outlineLevel="1" x14ac:dyDescent="0.25">
      <c r="A115" s="166">
        <v>43</v>
      </c>
      <c r="B115" s="167" t="s">
        <v>223</v>
      </c>
      <c r="C115" s="168" t="s">
        <v>224</v>
      </c>
      <c r="D115" s="169" t="s">
        <v>132</v>
      </c>
      <c r="E115" s="140">
        <f>SUM(E116:E116)</f>
        <v>45</v>
      </c>
      <c r="F115" s="140"/>
      <c r="G115" s="170">
        <f>E115*F115</f>
        <v>0</v>
      </c>
      <c r="H115" s="171">
        <v>0</v>
      </c>
      <c r="I115" s="171">
        <f>E115*H115</f>
        <v>0</v>
      </c>
      <c r="J115" s="171">
        <v>2.2599999999999999E-3</v>
      </c>
      <c r="K115" s="171">
        <f>E115*J115</f>
        <v>0.1017</v>
      </c>
    </row>
    <row r="116" spans="1:11" outlineLevel="2" x14ac:dyDescent="0.25">
      <c r="A116" s="128"/>
      <c r="B116" s="129"/>
      <c r="C116" s="152" t="s">
        <v>290</v>
      </c>
      <c r="D116" s="153"/>
      <c r="E116" s="141">
        <f>3*15</f>
        <v>45</v>
      </c>
      <c r="F116" s="142"/>
      <c r="G116" s="143"/>
      <c r="H116" s="144"/>
      <c r="I116" s="145"/>
      <c r="J116" s="144"/>
      <c r="K116" s="145"/>
    </row>
    <row r="117" spans="1:11" outlineLevel="1" x14ac:dyDescent="0.25">
      <c r="A117" s="166">
        <v>44</v>
      </c>
      <c r="B117" s="167" t="s">
        <v>266</v>
      </c>
      <c r="C117" s="168" t="s">
        <v>267</v>
      </c>
      <c r="D117" s="182" t="s">
        <v>99</v>
      </c>
      <c r="E117" s="140">
        <f>SUM(E118:E118)</f>
        <v>7.5600000000000005</v>
      </c>
      <c r="F117" s="140"/>
      <c r="G117" s="170">
        <f>E117*F117</f>
        <v>0</v>
      </c>
      <c r="H117" s="171">
        <v>0</v>
      </c>
      <c r="I117" s="171">
        <f>E117*H117</f>
        <v>0</v>
      </c>
      <c r="J117" s="171"/>
      <c r="K117" s="171">
        <f>E117*J117</f>
        <v>0</v>
      </c>
    </row>
    <row r="118" spans="1:11" outlineLevel="2" x14ac:dyDescent="0.25">
      <c r="A118" s="128"/>
      <c r="B118" s="129"/>
      <c r="C118" s="152" t="s">
        <v>265</v>
      </c>
      <c r="D118" s="153"/>
      <c r="E118" s="141">
        <f>(1+2)/2*4.2*1.2</f>
        <v>7.5600000000000005</v>
      </c>
      <c r="F118" s="142"/>
      <c r="G118" s="143"/>
      <c r="H118" s="144"/>
      <c r="I118" s="145"/>
      <c r="J118" s="144"/>
      <c r="K118" s="145"/>
    </row>
    <row r="119" spans="1:11" outlineLevel="1" x14ac:dyDescent="0.25">
      <c r="A119" s="166">
        <v>45</v>
      </c>
      <c r="B119" s="167" t="s">
        <v>268</v>
      </c>
      <c r="C119" s="168" t="s">
        <v>269</v>
      </c>
      <c r="D119" s="182" t="s">
        <v>220</v>
      </c>
      <c r="E119" s="140">
        <f>SUM(E120:E120)</f>
        <v>10</v>
      </c>
      <c r="F119" s="140"/>
      <c r="G119" s="170">
        <f>E119*F119</f>
        <v>0</v>
      </c>
      <c r="H119" s="171">
        <v>0</v>
      </c>
      <c r="I119" s="171">
        <f>E119*H119</f>
        <v>0</v>
      </c>
      <c r="J119" s="171"/>
      <c r="K119" s="171">
        <f>E119*J119</f>
        <v>0</v>
      </c>
    </row>
    <row r="120" spans="1:11" outlineLevel="2" x14ac:dyDescent="0.25">
      <c r="A120" s="128"/>
      <c r="B120" s="129"/>
      <c r="C120" s="152" t="s">
        <v>270</v>
      </c>
      <c r="D120" s="153"/>
      <c r="E120" s="141">
        <v>10</v>
      </c>
      <c r="F120" s="142"/>
      <c r="G120" s="143"/>
      <c r="H120" s="144"/>
      <c r="I120" s="145"/>
      <c r="J120" s="144"/>
      <c r="K120" s="145"/>
    </row>
    <row r="121" spans="1:11" outlineLevel="1" x14ac:dyDescent="0.25">
      <c r="A121" s="166">
        <v>46</v>
      </c>
      <c r="B121" s="167" t="s">
        <v>228</v>
      </c>
      <c r="C121" s="168" t="s">
        <v>229</v>
      </c>
      <c r="D121" s="182" t="s">
        <v>99</v>
      </c>
      <c r="E121" s="140">
        <f>SUM(E122:E122)</f>
        <v>5.5</v>
      </c>
      <c r="F121" s="140"/>
      <c r="G121" s="170">
        <f>E121*F121</f>
        <v>0</v>
      </c>
      <c r="H121" s="171">
        <v>0</v>
      </c>
      <c r="I121" s="171">
        <f>E121*H121</f>
        <v>0</v>
      </c>
      <c r="J121" s="171"/>
      <c r="K121" s="171">
        <f>E121*J121</f>
        <v>0</v>
      </c>
    </row>
    <row r="122" spans="1:11" outlineLevel="2" x14ac:dyDescent="0.25">
      <c r="A122" s="128"/>
      <c r="B122" s="129"/>
      <c r="C122" s="152" t="s">
        <v>289</v>
      </c>
      <c r="D122" s="153"/>
      <c r="E122" s="141">
        <f>2.2*2.5</f>
        <v>5.5</v>
      </c>
      <c r="F122" s="142"/>
      <c r="G122" s="143"/>
      <c r="H122" s="144"/>
      <c r="I122" s="145"/>
      <c r="J122" s="144"/>
      <c r="K122" s="145"/>
    </row>
    <row r="123" spans="1:11" outlineLevel="1" x14ac:dyDescent="0.25">
      <c r="A123" s="166">
        <v>47</v>
      </c>
      <c r="B123" s="167" t="s">
        <v>230</v>
      </c>
      <c r="C123" s="168" t="s">
        <v>231</v>
      </c>
      <c r="D123" s="169" t="s">
        <v>132</v>
      </c>
      <c r="E123" s="140">
        <f>SUM(E124:E124)</f>
        <v>27.5</v>
      </c>
      <c r="F123" s="140"/>
      <c r="G123" s="170">
        <f>E123*F123</f>
        <v>0</v>
      </c>
      <c r="H123" s="171">
        <v>0</v>
      </c>
      <c r="I123" s="171">
        <f>E123*H123</f>
        <v>0</v>
      </c>
      <c r="J123" s="171"/>
      <c r="K123" s="171">
        <f>E123*J123</f>
        <v>0</v>
      </c>
    </row>
    <row r="124" spans="1:11" outlineLevel="2" x14ac:dyDescent="0.25">
      <c r="A124" s="128"/>
      <c r="B124" s="129"/>
      <c r="C124" s="152" t="s">
        <v>245</v>
      </c>
      <c r="D124" s="153"/>
      <c r="E124" s="141">
        <v>27.5</v>
      </c>
      <c r="F124" s="142"/>
      <c r="G124" s="143"/>
      <c r="H124" s="144"/>
      <c r="I124" s="145"/>
      <c r="J124" s="144"/>
      <c r="K124" s="145"/>
    </row>
    <row r="125" spans="1:11" outlineLevel="1" x14ac:dyDescent="0.25">
      <c r="A125" s="166">
        <v>48</v>
      </c>
      <c r="B125" s="167" t="s">
        <v>232</v>
      </c>
      <c r="C125" s="168" t="s">
        <v>233</v>
      </c>
      <c r="D125" s="169" t="s">
        <v>132</v>
      </c>
      <c r="E125" s="140">
        <f>SUM(E126:E126)</f>
        <v>27.5</v>
      </c>
      <c r="F125" s="140"/>
      <c r="G125" s="170">
        <f>E125*F125</f>
        <v>0</v>
      </c>
      <c r="H125" s="171">
        <v>0</v>
      </c>
      <c r="I125" s="171">
        <f>E125*H125</f>
        <v>0</v>
      </c>
      <c r="J125" s="171"/>
      <c r="K125" s="171">
        <f>E125*J125</f>
        <v>0</v>
      </c>
    </row>
    <row r="126" spans="1:11" outlineLevel="2" x14ac:dyDescent="0.25">
      <c r="A126" s="128"/>
      <c r="B126" s="129"/>
      <c r="C126" s="152" t="s">
        <v>245</v>
      </c>
      <c r="D126" s="153"/>
      <c r="E126" s="141">
        <v>27.5</v>
      </c>
      <c r="F126" s="142"/>
      <c r="G126" s="143"/>
      <c r="H126" s="144"/>
      <c r="I126" s="145"/>
      <c r="J126" s="144"/>
      <c r="K126" s="145"/>
    </row>
    <row r="127" spans="1:11" outlineLevel="1" x14ac:dyDescent="0.25">
      <c r="A127" s="166">
        <v>49</v>
      </c>
      <c r="B127" s="167" t="s">
        <v>234</v>
      </c>
      <c r="C127" s="168" t="s">
        <v>235</v>
      </c>
      <c r="D127" s="169" t="s">
        <v>132</v>
      </c>
      <c r="E127" s="140">
        <f>SUM(E128:E128)</f>
        <v>9</v>
      </c>
      <c r="F127" s="140"/>
      <c r="G127" s="170">
        <f>E127*F127</f>
        <v>0</v>
      </c>
      <c r="H127" s="171">
        <v>0</v>
      </c>
      <c r="I127" s="171">
        <f>E127*H127</f>
        <v>0</v>
      </c>
      <c r="J127" s="171"/>
      <c r="K127" s="171">
        <f>E127*J127</f>
        <v>0</v>
      </c>
    </row>
    <row r="128" spans="1:11" outlineLevel="2" x14ac:dyDescent="0.25">
      <c r="A128" s="128"/>
      <c r="B128" s="129"/>
      <c r="C128" s="152" t="s">
        <v>279</v>
      </c>
      <c r="D128" s="153"/>
      <c r="E128" s="141">
        <v>9</v>
      </c>
      <c r="F128" s="142"/>
      <c r="G128" s="143"/>
      <c r="H128" s="144"/>
      <c r="I128" s="145"/>
      <c r="J128" s="144"/>
      <c r="K128" s="145"/>
    </row>
    <row r="129" spans="1:11" outlineLevel="1" x14ac:dyDescent="0.25">
      <c r="A129" s="166">
        <v>50</v>
      </c>
      <c r="B129" s="167" t="s">
        <v>237</v>
      </c>
      <c r="C129" s="168" t="s">
        <v>238</v>
      </c>
      <c r="D129" s="169" t="s">
        <v>132</v>
      </c>
      <c r="E129" s="140">
        <f>SUM(E130:E132)</f>
        <v>43.244126101815382</v>
      </c>
      <c r="F129" s="140"/>
      <c r="G129" s="170">
        <f>E129*F129</f>
        <v>0</v>
      </c>
      <c r="H129" s="171">
        <v>0</v>
      </c>
      <c r="I129" s="171">
        <f>E129*H129</f>
        <v>0</v>
      </c>
      <c r="J129" s="171"/>
      <c r="K129" s="171">
        <f>E129*J129</f>
        <v>0</v>
      </c>
    </row>
    <row r="130" spans="1:11" outlineLevel="2" x14ac:dyDescent="0.25">
      <c r="A130" s="128"/>
      <c r="B130" s="129"/>
      <c r="C130" s="152" t="s">
        <v>246</v>
      </c>
      <c r="D130" s="153"/>
      <c r="E130" s="141">
        <f>6.2+5</f>
        <v>11.2</v>
      </c>
      <c r="F130" s="142"/>
      <c r="G130" s="143"/>
      <c r="H130" s="144"/>
      <c r="I130" s="145"/>
      <c r="J130" s="144"/>
      <c r="K130" s="145"/>
    </row>
    <row r="131" spans="1:11" outlineLevel="2" x14ac:dyDescent="0.25">
      <c r="A131" s="128"/>
      <c r="B131" s="129"/>
      <c r="C131" s="152" t="s">
        <v>247</v>
      </c>
      <c r="D131" s="153"/>
      <c r="E131" s="141">
        <f>3+5</f>
        <v>8</v>
      </c>
      <c r="F131" s="142"/>
      <c r="G131" s="143"/>
      <c r="H131" s="144"/>
      <c r="I131" s="145"/>
      <c r="J131" s="144"/>
      <c r="K131" s="145"/>
    </row>
    <row r="132" spans="1:11" outlineLevel="2" x14ac:dyDescent="0.25">
      <c r="A132" s="128"/>
      <c r="B132" s="129"/>
      <c r="C132" s="152" t="s">
        <v>264</v>
      </c>
      <c r="D132" s="153"/>
      <c r="E132" s="141">
        <f>SQRT(POWER((32-25.8),2)+POWER(10.3,2))*2</f>
        <v>24.044126101815387</v>
      </c>
      <c r="F132" s="142"/>
      <c r="G132" s="143"/>
      <c r="H132" s="144"/>
      <c r="I132" s="145"/>
      <c r="J132" s="144"/>
      <c r="K132" s="145"/>
    </row>
    <row r="133" spans="1:11" outlineLevel="1" x14ac:dyDescent="0.25">
      <c r="A133" s="166">
        <v>51</v>
      </c>
      <c r="B133" s="167" t="s">
        <v>239</v>
      </c>
      <c r="C133" s="168" t="s">
        <v>240</v>
      </c>
      <c r="D133" s="169" t="s">
        <v>132</v>
      </c>
      <c r="E133" s="140">
        <f>SUM(E134:E138)</f>
        <v>34.23829727148329</v>
      </c>
      <c r="F133" s="140"/>
      <c r="G133" s="170">
        <f>E133*F133</f>
        <v>0</v>
      </c>
      <c r="H133" s="171">
        <v>0</v>
      </c>
      <c r="I133" s="171">
        <f>E133*H133</f>
        <v>0</v>
      </c>
      <c r="J133" s="171"/>
      <c r="K133" s="171">
        <f>E133*J133</f>
        <v>0</v>
      </c>
    </row>
    <row r="134" spans="1:11" outlineLevel="2" x14ac:dyDescent="0.25">
      <c r="A134" s="128"/>
      <c r="B134" s="129"/>
      <c r="C134" s="152" t="s">
        <v>250</v>
      </c>
      <c r="D134" s="153"/>
      <c r="E134" s="141">
        <f>SQRT(POWER(3.6,2)+POWER(9.4,2))</f>
        <v>10.065783625729296</v>
      </c>
      <c r="F134" s="142"/>
      <c r="G134" s="143"/>
      <c r="H134" s="144"/>
      <c r="I134" s="145"/>
      <c r="J134" s="144"/>
      <c r="K134" s="145"/>
    </row>
    <row r="135" spans="1:11" outlineLevel="2" x14ac:dyDescent="0.25">
      <c r="A135" s="128"/>
      <c r="B135" s="129"/>
      <c r="C135" s="152" t="s">
        <v>251</v>
      </c>
      <c r="D135" s="153"/>
      <c r="E135" s="141">
        <f>SQRT(POWER(3.3,2)+POWER(4.4,2))</f>
        <v>5.5</v>
      </c>
      <c r="F135" s="142"/>
      <c r="G135" s="143"/>
      <c r="H135" s="144"/>
      <c r="I135" s="145"/>
      <c r="J135" s="144"/>
      <c r="K135" s="145"/>
    </row>
    <row r="136" spans="1:11" outlineLevel="2" x14ac:dyDescent="0.25">
      <c r="A136" s="128"/>
      <c r="B136" s="129"/>
      <c r="C136" s="152" t="s">
        <v>252</v>
      </c>
      <c r="D136" s="153"/>
      <c r="E136" s="141">
        <f>SQRT(POWER(3.3,2)+POWER(4.4,2))</f>
        <v>5.5</v>
      </c>
      <c r="F136" s="142"/>
      <c r="G136" s="143"/>
      <c r="H136" s="144"/>
      <c r="I136" s="145"/>
      <c r="J136" s="144"/>
      <c r="K136" s="145"/>
    </row>
    <row r="137" spans="1:11" outlineLevel="2" x14ac:dyDescent="0.25">
      <c r="A137" s="128"/>
      <c r="B137" s="129"/>
      <c r="C137" s="152" t="s">
        <v>253</v>
      </c>
      <c r="D137" s="153"/>
      <c r="E137" s="141">
        <f>SQRT(POWER((3.6-1.7),2)+POWER(5,2))</f>
        <v>5.3488316481265326</v>
      </c>
      <c r="F137" s="142"/>
      <c r="G137" s="143"/>
      <c r="H137" s="144"/>
      <c r="I137" s="145"/>
      <c r="J137" s="144"/>
      <c r="K137" s="145"/>
    </row>
    <row r="138" spans="1:11" outlineLevel="2" x14ac:dyDescent="0.25">
      <c r="A138" s="128"/>
      <c r="B138" s="129"/>
      <c r="C138" s="152" t="s">
        <v>254</v>
      </c>
      <c r="D138" s="153"/>
      <c r="E138" s="141">
        <f>SQRT(POWER(4.5,2)+POWER(6.4,2))</f>
        <v>7.8236819976274603</v>
      </c>
      <c r="F138" s="142"/>
      <c r="G138" s="143"/>
      <c r="H138" s="144"/>
      <c r="I138" s="145"/>
      <c r="J138" s="144"/>
      <c r="K138" s="145"/>
    </row>
    <row r="139" spans="1:11" outlineLevel="1" x14ac:dyDescent="0.25">
      <c r="A139" s="166">
        <v>52</v>
      </c>
      <c r="B139" s="167" t="s">
        <v>241</v>
      </c>
      <c r="C139" s="168" t="s">
        <v>242</v>
      </c>
      <c r="D139" s="169" t="s">
        <v>132</v>
      </c>
      <c r="E139" s="140">
        <f>SUM(E140:E141)</f>
        <v>55.1</v>
      </c>
      <c r="F139" s="140"/>
      <c r="G139" s="170">
        <f>E139*F139</f>
        <v>0</v>
      </c>
      <c r="H139" s="171">
        <v>0</v>
      </c>
      <c r="I139" s="171">
        <f>E139*H139</f>
        <v>0</v>
      </c>
      <c r="J139" s="171"/>
      <c r="K139" s="171">
        <f>E139*J139</f>
        <v>0</v>
      </c>
    </row>
    <row r="140" spans="1:11" outlineLevel="2" x14ac:dyDescent="0.25">
      <c r="A140" s="128"/>
      <c r="B140" s="129"/>
      <c r="C140" s="152" t="s">
        <v>248</v>
      </c>
      <c r="D140" s="153"/>
      <c r="E140" s="141">
        <f>11.8+11.3</f>
        <v>23.1</v>
      </c>
      <c r="F140" s="142"/>
      <c r="G140" s="143"/>
      <c r="H140" s="144"/>
      <c r="I140" s="145"/>
      <c r="J140" s="144"/>
      <c r="K140" s="145"/>
    </row>
    <row r="141" spans="1:11" outlineLevel="2" x14ac:dyDescent="0.25">
      <c r="A141" s="128"/>
      <c r="B141" s="129"/>
      <c r="C141" s="152" t="s">
        <v>249</v>
      </c>
      <c r="D141" s="153"/>
      <c r="E141" s="141">
        <v>32</v>
      </c>
      <c r="F141" s="142"/>
      <c r="G141" s="143"/>
      <c r="H141" s="144"/>
      <c r="I141" s="145"/>
      <c r="J141" s="144"/>
      <c r="K141" s="145"/>
    </row>
    <row r="142" spans="1:11" ht="20.399999999999999" outlineLevel="1" x14ac:dyDescent="0.25">
      <c r="A142" s="166">
        <v>53</v>
      </c>
      <c r="B142" s="167" t="s">
        <v>256</v>
      </c>
      <c r="C142" s="168" t="s">
        <v>257</v>
      </c>
      <c r="D142" s="169" t="s">
        <v>132</v>
      </c>
      <c r="E142" s="140">
        <f>SUM(E143:E148)</f>
        <v>64.144126101815388</v>
      </c>
      <c r="F142" s="140"/>
      <c r="G142" s="170">
        <f>E142*F142</f>
        <v>0</v>
      </c>
      <c r="H142" s="171">
        <v>0</v>
      </c>
      <c r="I142" s="171">
        <f>E142*H142</f>
        <v>0</v>
      </c>
      <c r="J142" s="171"/>
      <c r="K142" s="171">
        <f>E142*J142</f>
        <v>0</v>
      </c>
    </row>
    <row r="143" spans="1:11" outlineLevel="2" x14ac:dyDescent="0.25">
      <c r="A143" s="128"/>
      <c r="B143" s="129"/>
      <c r="C143" s="152" t="s">
        <v>246</v>
      </c>
      <c r="D143" s="153"/>
      <c r="E143" s="141">
        <f>6.2+5</f>
        <v>11.2</v>
      </c>
      <c r="F143" s="142"/>
      <c r="G143" s="143"/>
      <c r="H143" s="144"/>
      <c r="I143" s="145"/>
      <c r="J143" s="144"/>
      <c r="K143" s="145"/>
    </row>
    <row r="144" spans="1:11" outlineLevel="2" x14ac:dyDescent="0.25">
      <c r="A144" s="128"/>
      <c r="B144" s="129"/>
      <c r="C144" s="152" t="s">
        <v>247</v>
      </c>
      <c r="D144" s="153"/>
      <c r="E144" s="141">
        <f>3+5</f>
        <v>8</v>
      </c>
      <c r="F144" s="142"/>
      <c r="G144" s="143"/>
      <c r="H144" s="144"/>
      <c r="I144" s="145"/>
      <c r="J144" s="144"/>
      <c r="K144" s="145"/>
    </row>
    <row r="145" spans="1:11" outlineLevel="2" x14ac:dyDescent="0.25">
      <c r="A145" s="128"/>
      <c r="B145" s="129"/>
      <c r="C145" s="152" t="s">
        <v>255</v>
      </c>
      <c r="D145" s="153"/>
      <c r="E145" s="141">
        <f>5+9.4</f>
        <v>14.4</v>
      </c>
      <c r="F145" s="142"/>
      <c r="G145" s="143"/>
      <c r="H145" s="144"/>
      <c r="I145" s="145"/>
      <c r="J145" s="144"/>
      <c r="K145" s="145"/>
    </row>
    <row r="146" spans="1:11" outlineLevel="2" x14ac:dyDescent="0.25">
      <c r="A146" s="128"/>
      <c r="B146" s="129"/>
      <c r="C146" s="152" t="s">
        <v>264</v>
      </c>
      <c r="D146" s="153"/>
      <c r="E146" s="141">
        <f>SQRT(POWER((32-25.8),2)+POWER(10.3,2))*2</f>
        <v>24.044126101815387</v>
      </c>
      <c r="F146" s="142"/>
      <c r="G146" s="143"/>
      <c r="H146" s="144"/>
      <c r="I146" s="145"/>
      <c r="J146" s="144"/>
      <c r="K146" s="145"/>
    </row>
    <row r="147" spans="1:11" outlineLevel="2" x14ac:dyDescent="0.25">
      <c r="A147" s="128"/>
      <c r="B147" s="129"/>
      <c r="C147" s="152" t="s">
        <v>288</v>
      </c>
      <c r="D147" s="153"/>
      <c r="E147" s="141">
        <v>4.5</v>
      </c>
      <c r="F147" s="142"/>
      <c r="G147" s="143"/>
      <c r="H147" s="144"/>
      <c r="I147" s="145"/>
      <c r="J147" s="144"/>
      <c r="K147" s="145"/>
    </row>
    <row r="148" spans="1:11" outlineLevel="2" x14ac:dyDescent="0.25">
      <c r="A148" s="128"/>
      <c r="B148" s="129"/>
      <c r="C148" s="152" t="s">
        <v>280</v>
      </c>
      <c r="D148" s="153"/>
      <c r="E148" s="141">
        <f>2.5*0.8</f>
        <v>2</v>
      </c>
      <c r="F148" s="142"/>
      <c r="G148" s="143"/>
      <c r="H148" s="144"/>
      <c r="I148" s="145"/>
      <c r="J148" s="144"/>
      <c r="K148" s="145"/>
    </row>
    <row r="149" spans="1:11" outlineLevel="1" x14ac:dyDescent="0.25">
      <c r="A149" s="166">
        <v>54</v>
      </c>
      <c r="B149" s="167" t="s">
        <v>243</v>
      </c>
      <c r="C149" s="168" t="s">
        <v>244</v>
      </c>
      <c r="D149" s="169" t="s">
        <v>132</v>
      </c>
      <c r="E149" s="140">
        <f>SUM(E150:E150)</f>
        <v>45</v>
      </c>
      <c r="F149" s="140"/>
      <c r="G149" s="170">
        <f>E149*F149</f>
        <v>0</v>
      </c>
      <c r="H149" s="171">
        <v>0</v>
      </c>
      <c r="I149" s="171">
        <f>E149*H149</f>
        <v>0</v>
      </c>
      <c r="J149" s="171"/>
      <c r="K149" s="171">
        <f>E149*J149</f>
        <v>0</v>
      </c>
    </row>
    <row r="150" spans="1:11" outlineLevel="2" x14ac:dyDescent="0.25">
      <c r="A150" s="128"/>
      <c r="B150" s="129"/>
      <c r="C150" s="152" t="s">
        <v>290</v>
      </c>
      <c r="D150" s="153"/>
      <c r="E150" s="141">
        <f>3*15</f>
        <v>45</v>
      </c>
      <c r="F150" s="142"/>
      <c r="G150" s="143"/>
      <c r="H150" s="144"/>
      <c r="I150" s="145"/>
      <c r="J150" s="144"/>
      <c r="K150" s="145"/>
    </row>
    <row r="151" spans="1:11" outlineLevel="1" x14ac:dyDescent="0.25">
      <c r="A151" s="121">
        <v>55</v>
      </c>
      <c r="B151" s="122" t="s">
        <v>200</v>
      </c>
      <c r="C151" s="123" t="s">
        <v>201</v>
      </c>
      <c r="D151" s="124" t="s">
        <v>60</v>
      </c>
      <c r="E151" s="125">
        <f>SUM(G115:G150)/100</f>
        <v>0</v>
      </c>
      <c r="F151" s="140"/>
      <c r="G151" s="126">
        <f>E151*F151</f>
        <v>0</v>
      </c>
      <c r="H151" s="127">
        <v>0</v>
      </c>
      <c r="I151" s="127">
        <f>E151*H151</f>
        <v>0</v>
      </c>
      <c r="J151" s="127"/>
      <c r="K151" s="127">
        <f>E151*J151</f>
        <v>0</v>
      </c>
    </row>
    <row r="152" spans="1:11" x14ac:dyDescent="0.25">
      <c r="A152" s="131"/>
      <c r="B152" s="132" t="s">
        <v>77</v>
      </c>
      <c r="C152" s="133" t="str">
        <f>CONCATENATE(B84," ",C84)</f>
        <v>764 Klempířské konstrukce</v>
      </c>
      <c r="D152" s="134"/>
      <c r="E152" s="135"/>
      <c r="F152" s="136"/>
      <c r="G152" s="137">
        <f>SUM(G84:G151)</f>
        <v>0</v>
      </c>
      <c r="H152" s="138"/>
      <c r="I152" s="139">
        <f>SUM(I84:I151)</f>
        <v>0</v>
      </c>
      <c r="J152" s="138"/>
      <c r="K152" s="139">
        <f>SUM(K84:K151)</f>
        <v>1.2544721928411098</v>
      </c>
    </row>
    <row r="153" spans="1:11" x14ac:dyDescent="0.25">
      <c r="A153" s="113" t="s">
        <v>76</v>
      </c>
      <c r="B153" s="114" t="s">
        <v>100</v>
      </c>
      <c r="C153" s="115" t="s">
        <v>101</v>
      </c>
      <c r="D153" s="116"/>
      <c r="E153" s="117"/>
      <c r="F153" s="117"/>
      <c r="G153" s="118"/>
      <c r="H153" s="119"/>
      <c r="I153" s="120"/>
      <c r="J153" s="119"/>
      <c r="K153" s="120"/>
    </row>
    <row r="154" spans="1:11" outlineLevel="1" x14ac:dyDescent="0.25">
      <c r="A154" s="166">
        <v>56</v>
      </c>
      <c r="B154" s="167" t="s">
        <v>273</v>
      </c>
      <c r="C154" s="168" t="s">
        <v>274</v>
      </c>
      <c r="D154" s="182" t="s">
        <v>132</v>
      </c>
      <c r="E154" s="140">
        <f>SUM(E155:E155)</f>
        <v>13.5</v>
      </c>
      <c r="F154" s="140"/>
      <c r="G154" s="170">
        <f>E154*F154</f>
        <v>0</v>
      </c>
      <c r="H154" s="171">
        <v>0</v>
      </c>
      <c r="I154" s="171">
        <f>E154*H154</f>
        <v>0</v>
      </c>
      <c r="J154" s="171"/>
      <c r="K154" s="171">
        <f>E154*J154</f>
        <v>0</v>
      </c>
    </row>
    <row r="155" spans="1:11" outlineLevel="2" x14ac:dyDescent="0.25">
      <c r="A155" s="128"/>
      <c r="B155" s="129"/>
      <c r="C155" s="152" t="s">
        <v>275</v>
      </c>
      <c r="D155" s="153"/>
      <c r="E155" s="141">
        <f>4.3+9.2</f>
        <v>13.5</v>
      </c>
      <c r="F155" s="142"/>
      <c r="G155" s="143"/>
      <c r="H155" s="144"/>
      <c r="I155" s="145"/>
      <c r="J155" s="144"/>
      <c r="K155" s="145"/>
    </row>
    <row r="156" spans="1:11" outlineLevel="1" x14ac:dyDescent="0.25">
      <c r="A156" s="166">
        <v>57</v>
      </c>
      <c r="B156" s="167" t="s">
        <v>276</v>
      </c>
      <c r="C156" s="168" t="s">
        <v>277</v>
      </c>
      <c r="D156" s="182" t="s">
        <v>220</v>
      </c>
      <c r="E156" s="140">
        <f>SUM(E157:E157)</f>
        <v>10</v>
      </c>
      <c r="F156" s="140"/>
      <c r="G156" s="170">
        <f>E156*F156</f>
        <v>0</v>
      </c>
      <c r="H156" s="171">
        <v>0</v>
      </c>
      <c r="I156" s="171">
        <f>E156*H156</f>
        <v>0</v>
      </c>
      <c r="J156" s="171"/>
      <c r="K156" s="171">
        <f>E156*J156</f>
        <v>0</v>
      </c>
    </row>
    <row r="157" spans="1:11" outlineLevel="2" x14ac:dyDescent="0.25">
      <c r="A157" s="128"/>
      <c r="B157" s="129"/>
      <c r="C157" s="152" t="s">
        <v>278</v>
      </c>
      <c r="D157" s="153"/>
      <c r="E157" s="141">
        <v>10</v>
      </c>
      <c r="F157" s="142"/>
      <c r="G157" s="143"/>
      <c r="H157" s="144"/>
      <c r="I157" s="145"/>
      <c r="J157" s="144"/>
      <c r="K157" s="145"/>
    </row>
    <row r="158" spans="1:11" ht="20.399999999999999" outlineLevel="1" x14ac:dyDescent="0.25">
      <c r="A158" s="166">
        <v>58</v>
      </c>
      <c r="B158" s="167" t="s">
        <v>102</v>
      </c>
      <c r="C158" s="168" t="s">
        <v>292</v>
      </c>
      <c r="D158" s="169" t="s">
        <v>99</v>
      </c>
      <c r="E158" s="140">
        <f>SUM(E159:E160)</f>
        <v>780.35000000000014</v>
      </c>
      <c r="F158" s="140"/>
      <c r="G158" s="170">
        <f>E158*F158</f>
        <v>0</v>
      </c>
      <c r="H158" s="171">
        <v>0</v>
      </c>
      <c r="I158" s="171">
        <f>E158*H158</f>
        <v>0</v>
      </c>
      <c r="J158" s="171">
        <v>1.3999999999995801E-2</v>
      </c>
      <c r="K158" s="171">
        <f>E158*J158</f>
        <v>10.924899999996725</v>
      </c>
    </row>
    <row r="159" spans="1:11" ht="30.6" outlineLevel="2" x14ac:dyDescent="0.25">
      <c r="A159" s="128"/>
      <c r="B159" s="129"/>
      <c r="C159" s="152" t="s">
        <v>164</v>
      </c>
      <c r="D159" s="153"/>
      <c r="E159" s="141">
        <f>(1.7+3.6)/2*5+3.6*9.4/2+3.3*4.4/2*2+(2.7+11.8)/2*6.2+(11.8+8.2)/2*5+(6.9+11.3)/2*3+(11.3+7.6)/2*5</f>
        <v>214.19</v>
      </c>
      <c r="F159" s="142"/>
      <c r="G159" s="170">
        <f t="shared" ref="G159:G161" si="2">E159*F159</f>
        <v>0</v>
      </c>
      <c r="H159" s="144"/>
      <c r="I159" s="145"/>
      <c r="J159" s="144"/>
      <c r="K159" s="145"/>
    </row>
    <row r="160" spans="1:11" ht="20.399999999999999" outlineLevel="2" x14ac:dyDescent="0.25">
      <c r="A160" s="128"/>
      <c r="B160" s="129"/>
      <c r="C160" s="152" t="s">
        <v>165</v>
      </c>
      <c r="D160" s="153"/>
      <c r="E160" s="141">
        <f>((25.8+32)/2+(32+29.8)/2)*10.3-(1.7+5.7)/2*5.3-(1.7+3.6)/2*5-3.6*9.4/2</f>
        <v>566.16000000000008</v>
      </c>
      <c r="F160" s="142"/>
      <c r="G160" s="170">
        <f t="shared" si="2"/>
        <v>0</v>
      </c>
      <c r="H160" s="144"/>
      <c r="I160" s="145"/>
      <c r="J160" s="144"/>
      <c r="K160" s="145"/>
    </row>
    <row r="161" spans="1:11" ht="29.25" customHeight="1" outlineLevel="2" x14ac:dyDescent="0.25">
      <c r="A161" s="128"/>
      <c r="B161" s="250" t="s">
        <v>295</v>
      </c>
      <c r="C161" s="247" t="s">
        <v>296</v>
      </c>
      <c r="D161" s="248" t="s">
        <v>190</v>
      </c>
      <c r="E161" s="249">
        <v>1</v>
      </c>
      <c r="F161" s="251"/>
      <c r="G161" s="170">
        <f t="shared" si="2"/>
        <v>0</v>
      </c>
      <c r="H161" s="144"/>
      <c r="I161" s="145"/>
      <c r="J161" s="144"/>
      <c r="K161" s="145"/>
    </row>
    <row r="162" spans="1:11" ht="20.399999999999999" outlineLevel="1" x14ac:dyDescent="0.25">
      <c r="A162" s="166">
        <v>59</v>
      </c>
      <c r="B162" s="167" t="s">
        <v>143</v>
      </c>
      <c r="C162" s="168" t="s">
        <v>144</v>
      </c>
      <c r="D162" s="169" t="s">
        <v>99</v>
      </c>
      <c r="E162" s="140">
        <f>SUM(E163:E164)</f>
        <v>780.35000000000014</v>
      </c>
      <c r="F162" s="140"/>
      <c r="G162" s="170">
        <f>E162*F162</f>
        <v>0</v>
      </c>
      <c r="H162" s="171"/>
      <c r="I162" s="171">
        <f>E162*H162</f>
        <v>0</v>
      </c>
      <c r="J162" s="171">
        <v>0</v>
      </c>
      <c r="K162" s="171">
        <f>E162*J162</f>
        <v>0</v>
      </c>
    </row>
    <row r="163" spans="1:11" ht="30.6" outlineLevel="2" x14ac:dyDescent="0.25">
      <c r="A163" s="128"/>
      <c r="B163" s="129"/>
      <c r="C163" s="152" t="s">
        <v>164</v>
      </c>
      <c r="D163" s="153"/>
      <c r="E163" s="141">
        <f>(1.7+3.6)/2*5+3.6*9.4/2+3.3*4.4/2*2+(2.7+11.8)/2*6.2+(11.8+8.2)/2*5+(6.9+11.3)/2*3+(11.3+7.6)/2*5</f>
        <v>214.19</v>
      </c>
      <c r="F163" s="142"/>
      <c r="G163" s="143"/>
      <c r="H163" s="144"/>
      <c r="I163" s="145"/>
      <c r="J163" s="144"/>
      <c r="K163" s="145"/>
    </row>
    <row r="164" spans="1:11" ht="20.399999999999999" outlineLevel="2" x14ac:dyDescent="0.25">
      <c r="A164" s="128"/>
      <c r="B164" s="129"/>
      <c r="C164" s="152" t="s">
        <v>165</v>
      </c>
      <c r="D164" s="153"/>
      <c r="E164" s="141">
        <f>((25.8+32)/2+(32+29.8)/2)*10.3-(1.7+5.7)/2*5.3-(1.7+3.6)/2*5-3.6*9.4/2</f>
        <v>566.16000000000008</v>
      </c>
      <c r="F164" s="142"/>
      <c r="G164" s="143"/>
      <c r="H164" s="144"/>
      <c r="I164" s="145"/>
      <c r="J164" s="144"/>
      <c r="K164" s="145"/>
    </row>
    <row r="165" spans="1:11" ht="20.399999999999999" outlineLevel="1" x14ac:dyDescent="0.25">
      <c r="A165" s="166">
        <v>60</v>
      </c>
      <c r="B165" s="167" t="s">
        <v>145</v>
      </c>
      <c r="C165" s="168" t="s">
        <v>146</v>
      </c>
      <c r="D165" s="169" t="s">
        <v>99</v>
      </c>
      <c r="E165" s="140">
        <f>SUM(E166:E167)</f>
        <v>780.35000000000014</v>
      </c>
      <c r="F165" s="140"/>
      <c r="G165" s="170">
        <f>E165*F165</f>
        <v>0</v>
      </c>
      <c r="H165" s="171"/>
      <c r="I165" s="171">
        <f>E165*H165</f>
        <v>0</v>
      </c>
      <c r="J165" s="171">
        <v>0</v>
      </c>
      <c r="K165" s="171">
        <f>E165*J165</f>
        <v>0</v>
      </c>
    </row>
    <row r="166" spans="1:11" ht="30.6" outlineLevel="2" x14ac:dyDescent="0.25">
      <c r="A166" s="128"/>
      <c r="B166" s="129"/>
      <c r="C166" s="152" t="s">
        <v>164</v>
      </c>
      <c r="D166" s="153"/>
      <c r="E166" s="141">
        <f>(1.7+3.6)/2*5+3.6*9.4/2+3.3*4.4/2*2+(2.7+11.8)/2*6.2+(11.8+8.2)/2*5+(6.9+11.3)/2*3+(11.3+7.6)/2*5</f>
        <v>214.19</v>
      </c>
      <c r="F166" s="142"/>
      <c r="G166" s="143"/>
      <c r="H166" s="144"/>
      <c r="I166" s="145"/>
      <c r="J166" s="144"/>
      <c r="K166" s="145"/>
    </row>
    <row r="167" spans="1:11" ht="20.399999999999999" outlineLevel="2" x14ac:dyDescent="0.25">
      <c r="A167" s="128"/>
      <c r="B167" s="129"/>
      <c r="C167" s="152" t="s">
        <v>165</v>
      </c>
      <c r="D167" s="153"/>
      <c r="E167" s="141">
        <f>((25.8+32)/2+(32+29.8)/2)*10.3-(1.7+5.7)/2*5.3-(1.7+3.6)/2*5-3.6*9.4/2</f>
        <v>566.16000000000008</v>
      </c>
      <c r="F167" s="142"/>
      <c r="G167" s="143"/>
      <c r="H167" s="144"/>
      <c r="I167" s="145"/>
      <c r="J167" s="144"/>
      <c r="K167" s="145"/>
    </row>
    <row r="168" spans="1:11" outlineLevel="1" x14ac:dyDescent="0.25">
      <c r="A168" s="121">
        <v>61</v>
      </c>
      <c r="B168" s="122" t="s">
        <v>158</v>
      </c>
      <c r="C168" s="123" t="s">
        <v>159</v>
      </c>
      <c r="D168" s="124" t="s">
        <v>60</v>
      </c>
      <c r="E168" s="125">
        <f>SUM(G158:G165)/100</f>
        <v>0</v>
      </c>
      <c r="F168" s="140"/>
      <c r="G168" s="126">
        <f>E168*F168</f>
        <v>0</v>
      </c>
      <c r="H168" s="127">
        <v>0</v>
      </c>
      <c r="I168" s="127">
        <f>E168*H168</f>
        <v>0</v>
      </c>
      <c r="J168" s="127"/>
      <c r="K168" s="127">
        <f>E168*J168</f>
        <v>0</v>
      </c>
    </row>
    <row r="169" spans="1:11" x14ac:dyDescent="0.25">
      <c r="A169" s="131"/>
      <c r="B169" s="132" t="s">
        <v>77</v>
      </c>
      <c r="C169" s="133" t="str">
        <f>CONCATENATE(B153," ",C153)</f>
        <v>765 Krytiny tvrdé</v>
      </c>
      <c r="D169" s="134"/>
      <c r="E169" s="135"/>
      <c r="F169" s="136"/>
      <c r="G169" s="137">
        <f>SUM(G153:G168)</f>
        <v>0</v>
      </c>
      <c r="H169" s="138"/>
      <c r="I169" s="139">
        <f>SUM(I153:I168)</f>
        <v>0</v>
      </c>
      <c r="J169" s="138"/>
      <c r="K169" s="139">
        <f>SUM(K153:K168)</f>
        <v>10.924899999996725</v>
      </c>
    </row>
    <row r="170" spans="1:11" x14ac:dyDescent="0.25">
      <c r="A170" s="113" t="s">
        <v>76</v>
      </c>
      <c r="B170" s="114" t="s">
        <v>147</v>
      </c>
      <c r="C170" s="115" t="s">
        <v>148</v>
      </c>
      <c r="D170" s="116"/>
      <c r="E170" s="117"/>
      <c r="F170" s="117"/>
      <c r="G170" s="118"/>
      <c r="H170" s="119"/>
      <c r="I170" s="120"/>
      <c r="J170" s="119"/>
      <c r="K170" s="120"/>
    </row>
    <row r="171" spans="1:11" outlineLevel="1" x14ac:dyDescent="0.25">
      <c r="A171" s="166">
        <v>62</v>
      </c>
      <c r="B171" s="167" t="s">
        <v>149</v>
      </c>
      <c r="C171" s="168" t="s">
        <v>150</v>
      </c>
      <c r="D171" s="169" t="s">
        <v>99</v>
      </c>
      <c r="E171" s="140">
        <f>SUM(E172:E183)</f>
        <v>3576.6775619047621</v>
      </c>
      <c r="F171" s="140"/>
      <c r="G171" s="170">
        <f>E171*F171</f>
        <v>0</v>
      </c>
      <c r="H171" s="171"/>
      <c r="I171" s="171">
        <f>E171*H171</f>
        <v>0</v>
      </c>
      <c r="J171" s="171">
        <v>0</v>
      </c>
      <c r="K171" s="171">
        <f>E171*J171</f>
        <v>0</v>
      </c>
    </row>
    <row r="172" spans="1:11" ht="30.6" outlineLevel="2" x14ac:dyDescent="0.25">
      <c r="A172" s="128"/>
      <c r="B172" s="129"/>
      <c r="C172" s="152" t="s">
        <v>178</v>
      </c>
      <c r="D172" s="153"/>
      <c r="E172" s="141">
        <f>((1.7+3.6)/2*5+3.6*9.4/2+3.3*4.4/2*2+(2.7+11.8)/2*6.2+(11.8+8.2)/2*5+(6.9+11.3)/2*3+(11.3+7.6)/2*5)*2</f>
        <v>428.38</v>
      </c>
      <c r="F172" s="142"/>
      <c r="G172" s="143"/>
      <c r="H172" s="144"/>
      <c r="I172" s="145"/>
      <c r="J172" s="144"/>
      <c r="K172" s="145"/>
    </row>
    <row r="173" spans="1:11" ht="20.399999999999999" outlineLevel="2" x14ac:dyDescent="0.25">
      <c r="A173" s="128"/>
      <c r="B173" s="129"/>
      <c r="C173" s="152" t="s">
        <v>179</v>
      </c>
      <c r="D173" s="153"/>
      <c r="E173" s="141">
        <f>(((25.8+32)/2+(32+29.8)/2)*10.3-(1.7+5.7)/2*5.3-(1.7+3.6)/2*5-3.6*9.4/2)*2</f>
        <v>1132.3200000000002</v>
      </c>
      <c r="F173" s="142"/>
      <c r="G173" s="143"/>
      <c r="H173" s="144"/>
      <c r="I173" s="145"/>
      <c r="J173" s="144"/>
      <c r="K173" s="145"/>
    </row>
    <row r="174" spans="1:11" outlineLevel="2" x14ac:dyDescent="0.25">
      <c r="A174" s="128"/>
      <c r="B174" s="129"/>
      <c r="C174" s="152" t="s">
        <v>180</v>
      </c>
      <c r="D174" s="153"/>
      <c r="E174" s="141">
        <f>(1.95*7+4.5*6.4/2)*2</f>
        <v>56.1</v>
      </c>
      <c r="F174" s="142"/>
      <c r="G174" s="143"/>
      <c r="H174" s="144"/>
      <c r="I174" s="145"/>
      <c r="J174" s="144"/>
      <c r="K174" s="145"/>
    </row>
    <row r="175" spans="1:11" ht="40.799999999999997" outlineLevel="2" x14ac:dyDescent="0.25">
      <c r="A175" s="128"/>
      <c r="B175" s="129"/>
      <c r="C175" s="152" t="s">
        <v>176</v>
      </c>
      <c r="D175" s="153"/>
      <c r="E175" s="141">
        <f>((1.7+3.6)/2*5+3.6*9.4/2+3.3*4.4/2*2+(2.7+11.8)/2*6.2+(11.8+8.2)/2*5+(6.9+11.3)/2*3+(11.3+7.6)/2*5)*2*((0.03+0.05)*2*4.76190476190476+0.05*4*1)</f>
        <v>412.06076190476176</v>
      </c>
      <c r="F175" s="142"/>
      <c r="G175" s="143"/>
      <c r="H175" s="144"/>
      <c r="I175" s="145"/>
      <c r="J175" s="144"/>
      <c r="K175" s="145"/>
    </row>
    <row r="176" spans="1:11" ht="40.799999999999997" outlineLevel="2" x14ac:dyDescent="0.25">
      <c r="A176" s="128"/>
      <c r="B176" s="129"/>
      <c r="C176" s="152" t="s">
        <v>177</v>
      </c>
      <c r="D176" s="153"/>
      <c r="E176" s="141">
        <f>(((25.8+32)/2+(32+29.8)/2)*10.3-(1.7+5.7)/2*5.3-(1.7+3.6)/2*5-3.6*9.4/2)*2*((0.03+0.05)*2*4.76190476190476+0.05*4*1)</f>
        <v>1089.1839999999997</v>
      </c>
      <c r="F176" s="142"/>
      <c r="G176" s="143"/>
      <c r="H176" s="144"/>
      <c r="I176" s="145"/>
      <c r="J176" s="144"/>
      <c r="K176" s="145"/>
    </row>
    <row r="177" spans="1:11" outlineLevel="2" x14ac:dyDescent="0.25">
      <c r="A177" s="128"/>
      <c r="B177" s="129"/>
      <c r="C177" s="152" t="s">
        <v>169</v>
      </c>
      <c r="D177" s="153"/>
      <c r="E177" s="141"/>
      <c r="F177" s="142"/>
      <c r="G177" s="143"/>
      <c r="H177" s="144"/>
      <c r="I177" s="145"/>
      <c r="J177" s="144"/>
      <c r="K177" s="145"/>
    </row>
    <row r="178" spans="1:11" outlineLevel="2" x14ac:dyDescent="0.25">
      <c r="A178" s="128"/>
      <c r="B178" s="129"/>
      <c r="C178" s="152" t="s">
        <v>175</v>
      </c>
      <c r="D178" s="153"/>
      <c r="E178" s="141">
        <f>0.17*4*(11.5+7.5)*2*2.5</f>
        <v>64.600000000000009</v>
      </c>
      <c r="F178" s="142"/>
      <c r="G178" s="143"/>
      <c r="H178" s="144"/>
      <c r="I178" s="145"/>
      <c r="J178" s="144"/>
      <c r="K178" s="145"/>
    </row>
    <row r="179" spans="1:11" outlineLevel="2" x14ac:dyDescent="0.25">
      <c r="A179" s="128"/>
      <c r="B179" s="129"/>
      <c r="C179" s="152" t="s">
        <v>170</v>
      </c>
      <c r="D179" s="153"/>
      <c r="E179" s="141">
        <f>(0.17+0.15*2)*2*5*7</f>
        <v>32.899999999999991</v>
      </c>
      <c r="F179" s="142"/>
      <c r="G179" s="143"/>
      <c r="H179" s="144"/>
      <c r="I179" s="145"/>
      <c r="J179" s="144"/>
      <c r="K179" s="145"/>
    </row>
    <row r="180" spans="1:11" outlineLevel="2" x14ac:dyDescent="0.25">
      <c r="A180" s="128"/>
      <c r="B180" s="129"/>
      <c r="C180" s="152" t="s">
        <v>171</v>
      </c>
      <c r="D180" s="153"/>
      <c r="E180" s="141">
        <f>0.17*4*2.5*7*2</f>
        <v>23.800000000000004</v>
      </c>
      <c r="F180" s="142"/>
      <c r="G180" s="143"/>
      <c r="H180" s="144"/>
      <c r="I180" s="145"/>
      <c r="J180" s="144"/>
      <c r="K180" s="145"/>
    </row>
    <row r="181" spans="1:11" outlineLevel="2" x14ac:dyDescent="0.25">
      <c r="A181" s="128"/>
      <c r="B181" s="129"/>
      <c r="C181" s="152" t="s">
        <v>172</v>
      </c>
      <c r="D181" s="153"/>
      <c r="E181" s="141">
        <f>(0.17+0.28)*2*10.3*7*2</f>
        <v>129.78000000000003</v>
      </c>
      <c r="F181" s="142"/>
      <c r="G181" s="143"/>
      <c r="H181" s="144"/>
      <c r="I181" s="145"/>
      <c r="J181" s="144"/>
      <c r="K181" s="145"/>
    </row>
    <row r="182" spans="1:11" outlineLevel="2" x14ac:dyDescent="0.25">
      <c r="A182" s="128"/>
      <c r="B182" s="129"/>
      <c r="C182" s="152" t="s">
        <v>173</v>
      </c>
      <c r="D182" s="153"/>
      <c r="E182" s="141">
        <f>(0.17+0.2)*2*10.3/2*2*7*2</f>
        <v>106.70800000000001</v>
      </c>
      <c r="F182" s="142"/>
      <c r="G182" s="143"/>
      <c r="H182" s="144"/>
      <c r="I182" s="145"/>
      <c r="J182" s="144"/>
      <c r="K182" s="145"/>
    </row>
    <row r="183" spans="1:11" outlineLevel="2" x14ac:dyDescent="0.25">
      <c r="A183" s="128"/>
      <c r="B183" s="129"/>
      <c r="C183" s="152" t="s">
        <v>174</v>
      </c>
      <c r="D183" s="153"/>
      <c r="E183" s="141">
        <f>(0.17+0.23)*2*7*(4.82+4.1*2+4.988)</f>
        <v>100.84480000000001</v>
      </c>
      <c r="F183" s="142"/>
      <c r="G183" s="143"/>
      <c r="H183" s="144"/>
      <c r="I183" s="145"/>
      <c r="J183" s="144"/>
      <c r="K183" s="145"/>
    </row>
    <row r="184" spans="1:11" x14ac:dyDescent="0.25">
      <c r="A184" s="131"/>
      <c r="B184" s="132" t="s">
        <v>77</v>
      </c>
      <c r="C184" s="133" t="str">
        <f>CONCATENATE(B170," ",C170)</f>
        <v>783 Nátěry</v>
      </c>
      <c r="D184" s="134"/>
      <c r="E184" s="135"/>
      <c r="F184" s="136"/>
      <c r="G184" s="137">
        <f>SUM(G170:G171)</f>
        <v>0</v>
      </c>
      <c r="H184" s="138"/>
      <c r="I184" s="139">
        <f>SUM(I170:I171)</f>
        <v>0</v>
      </c>
      <c r="J184" s="138"/>
      <c r="K184" s="139">
        <f>SUM(K170:K171)</f>
        <v>0</v>
      </c>
    </row>
    <row r="185" spans="1:11" x14ac:dyDescent="0.25">
      <c r="A185" s="113" t="s">
        <v>76</v>
      </c>
      <c r="B185" s="114" t="s">
        <v>195</v>
      </c>
      <c r="C185" s="115" t="s">
        <v>191</v>
      </c>
      <c r="D185" s="116"/>
      <c r="E185" s="117"/>
      <c r="F185" s="117"/>
      <c r="G185" s="118"/>
      <c r="H185" s="119"/>
      <c r="I185" s="120"/>
      <c r="J185" s="119"/>
      <c r="K185" s="120"/>
    </row>
    <row r="186" spans="1:11" ht="20.399999999999999" outlineLevel="1" x14ac:dyDescent="0.25">
      <c r="A186" s="166">
        <v>63</v>
      </c>
      <c r="B186" s="167" t="s">
        <v>196</v>
      </c>
      <c r="C186" s="168" t="s">
        <v>192</v>
      </c>
      <c r="D186" s="169" t="s">
        <v>193</v>
      </c>
      <c r="E186" s="140">
        <v>12</v>
      </c>
      <c r="F186" s="140"/>
      <c r="G186" s="170">
        <f>E186*F186</f>
        <v>0</v>
      </c>
      <c r="H186" s="171"/>
      <c r="I186" s="171">
        <f>E186*H186</f>
        <v>0</v>
      </c>
      <c r="J186" s="171">
        <v>0</v>
      </c>
      <c r="K186" s="171">
        <f>E186*J186</f>
        <v>0</v>
      </c>
    </row>
    <row r="187" spans="1:11" ht="20.399999999999999" outlineLevel="1" x14ac:dyDescent="0.25">
      <c r="A187" s="166">
        <v>64</v>
      </c>
      <c r="B187" s="167" t="s">
        <v>197</v>
      </c>
      <c r="C187" s="168" t="s">
        <v>194</v>
      </c>
      <c r="D187" s="169" t="s">
        <v>132</v>
      </c>
      <c r="E187" s="140">
        <f>4.15*6+1.604+10.3*4</f>
        <v>67.704000000000008</v>
      </c>
      <c r="F187" s="140"/>
      <c r="G187" s="170">
        <f>E187*F187</f>
        <v>0</v>
      </c>
      <c r="H187" s="171"/>
      <c r="I187" s="171">
        <f>E187*H187</f>
        <v>0</v>
      </c>
      <c r="J187" s="171">
        <v>0</v>
      </c>
      <c r="K187" s="171">
        <f>E187*J187</f>
        <v>0</v>
      </c>
    </row>
    <row r="188" spans="1:11" x14ac:dyDescent="0.25">
      <c r="A188" s="131"/>
      <c r="B188" s="132" t="s">
        <v>77</v>
      </c>
      <c r="C188" s="133" t="str">
        <f>CONCATENATE(B185," ",C185)</f>
        <v>210 Elektro - hromosvod</v>
      </c>
      <c r="D188" s="134"/>
      <c r="E188" s="135"/>
      <c r="F188" s="136"/>
      <c r="G188" s="137">
        <f>SUM(G185:G187)</f>
        <v>0</v>
      </c>
      <c r="H188" s="138"/>
      <c r="I188" s="139">
        <f>SUM(I185:I187)</f>
        <v>0</v>
      </c>
      <c r="J188" s="138"/>
      <c r="K188" s="139">
        <f>SUM(K185:K187)</f>
        <v>0</v>
      </c>
    </row>
    <row r="189" spans="1:11" x14ac:dyDescent="0.25">
      <c r="E189" s="96"/>
    </row>
    <row r="190" spans="1:11" x14ac:dyDescent="0.25">
      <c r="E190" s="96"/>
    </row>
    <row r="191" spans="1:11" x14ac:dyDescent="0.25">
      <c r="E191" s="96"/>
    </row>
    <row r="192" spans="1:11" x14ac:dyDescent="0.25">
      <c r="E192" s="96"/>
    </row>
    <row r="193" spans="1:7" x14ac:dyDescent="0.25">
      <c r="E193" s="96"/>
    </row>
    <row r="194" spans="1:7" x14ac:dyDescent="0.25">
      <c r="E194" s="96"/>
    </row>
    <row r="195" spans="1:7" x14ac:dyDescent="0.25">
      <c r="E195" s="96"/>
    </row>
    <row r="196" spans="1:7" x14ac:dyDescent="0.25">
      <c r="E196" s="96"/>
    </row>
    <row r="197" spans="1:7" x14ac:dyDescent="0.25">
      <c r="A197" s="144"/>
      <c r="B197" s="144"/>
      <c r="C197" s="144"/>
      <c r="D197" s="144"/>
      <c r="E197" s="144"/>
      <c r="F197" s="144"/>
      <c r="G197" s="144"/>
    </row>
    <row r="198" spans="1:7" x14ac:dyDescent="0.25">
      <c r="A198" s="144"/>
      <c r="B198" s="144"/>
      <c r="C198" s="144"/>
      <c r="D198" s="144"/>
      <c r="E198" s="144"/>
      <c r="F198" s="144"/>
      <c r="G198" s="144"/>
    </row>
    <row r="199" spans="1:7" x14ac:dyDescent="0.25">
      <c r="A199" s="144"/>
      <c r="B199" s="144"/>
      <c r="C199" s="144"/>
      <c r="D199" s="144"/>
      <c r="E199" s="144"/>
      <c r="F199" s="144"/>
      <c r="G199" s="144"/>
    </row>
    <row r="200" spans="1:7" x14ac:dyDescent="0.25">
      <c r="A200" s="144"/>
      <c r="B200" s="144"/>
      <c r="C200" s="144"/>
      <c r="D200" s="144"/>
      <c r="E200" s="144"/>
      <c r="F200" s="144"/>
      <c r="G200" s="144"/>
    </row>
    <row r="201" spans="1:7" x14ac:dyDescent="0.25">
      <c r="E201" s="96"/>
    </row>
    <row r="202" spans="1:7" x14ac:dyDescent="0.25">
      <c r="E202" s="96"/>
    </row>
    <row r="203" spans="1:7" x14ac:dyDescent="0.25">
      <c r="E203" s="96"/>
    </row>
    <row r="204" spans="1:7" x14ac:dyDescent="0.25">
      <c r="E204" s="96"/>
    </row>
    <row r="205" spans="1:7" x14ac:dyDescent="0.25">
      <c r="E205" s="96"/>
    </row>
    <row r="206" spans="1:7" x14ac:dyDescent="0.25">
      <c r="E206" s="96"/>
    </row>
    <row r="207" spans="1:7" x14ac:dyDescent="0.25">
      <c r="E207" s="96"/>
    </row>
    <row r="208" spans="1:7" x14ac:dyDescent="0.25">
      <c r="E208" s="96"/>
    </row>
    <row r="209" spans="5:5" x14ac:dyDescent="0.25">
      <c r="E209" s="96"/>
    </row>
    <row r="210" spans="5:5" x14ac:dyDescent="0.25">
      <c r="E210" s="96"/>
    </row>
    <row r="211" spans="5:5" x14ac:dyDescent="0.25">
      <c r="E211" s="96"/>
    </row>
    <row r="212" spans="5:5" x14ac:dyDescent="0.25">
      <c r="E212" s="96"/>
    </row>
    <row r="213" spans="5:5" x14ac:dyDescent="0.25">
      <c r="E213" s="96"/>
    </row>
    <row r="214" spans="5:5" x14ac:dyDescent="0.25">
      <c r="E214" s="96"/>
    </row>
    <row r="215" spans="5:5" x14ac:dyDescent="0.25">
      <c r="E215" s="96"/>
    </row>
    <row r="216" spans="5:5" x14ac:dyDescent="0.25">
      <c r="E216" s="96"/>
    </row>
    <row r="217" spans="5:5" x14ac:dyDescent="0.25">
      <c r="E217" s="96"/>
    </row>
    <row r="218" spans="5:5" x14ac:dyDescent="0.25">
      <c r="E218" s="96"/>
    </row>
    <row r="219" spans="5:5" x14ac:dyDescent="0.25">
      <c r="E219" s="96"/>
    </row>
    <row r="220" spans="5:5" x14ac:dyDescent="0.25">
      <c r="E220" s="96"/>
    </row>
    <row r="221" spans="5:5" x14ac:dyDescent="0.25">
      <c r="E221" s="96"/>
    </row>
    <row r="222" spans="5:5" x14ac:dyDescent="0.25">
      <c r="E222" s="96"/>
    </row>
    <row r="223" spans="5:5" x14ac:dyDescent="0.25">
      <c r="E223" s="96"/>
    </row>
    <row r="224" spans="5:5" x14ac:dyDescent="0.25">
      <c r="E224" s="96"/>
    </row>
    <row r="225" spans="1:7" x14ac:dyDescent="0.25">
      <c r="E225" s="96"/>
    </row>
    <row r="226" spans="1:7" x14ac:dyDescent="0.25">
      <c r="E226" s="96"/>
    </row>
    <row r="227" spans="1:7" x14ac:dyDescent="0.25">
      <c r="E227" s="96"/>
    </row>
    <row r="228" spans="1:7" x14ac:dyDescent="0.25">
      <c r="E228" s="96"/>
    </row>
    <row r="229" spans="1:7" x14ac:dyDescent="0.25">
      <c r="E229" s="96"/>
    </row>
    <row r="230" spans="1:7" x14ac:dyDescent="0.25">
      <c r="E230" s="96"/>
    </row>
    <row r="231" spans="1:7" x14ac:dyDescent="0.25">
      <c r="E231" s="96"/>
    </row>
    <row r="232" spans="1:7" x14ac:dyDescent="0.25">
      <c r="A232" s="146"/>
      <c r="B232" s="146"/>
    </row>
    <row r="233" spans="1:7" x14ac:dyDescent="0.25">
      <c r="A233" s="144"/>
      <c r="B233" s="144"/>
      <c r="C233" s="147"/>
      <c r="D233" s="147"/>
      <c r="E233" s="148"/>
      <c r="F233" s="147"/>
      <c r="G233" s="149"/>
    </row>
    <row r="234" spans="1:7" x14ac:dyDescent="0.25">
      <c r="A234" s="150"/>
      <c r="B234" s="150"/>
      <c r="C234" s="144"/>
      <c r="D234" s="144"/>
      <c r="E234" s="151"/>
      <c r="F234" s="144"/>
      <c r="G234" s="144"/>
    </row>
    <row r="235" spans="1:7" x14ac:dyDescent="0.25">
      <c r="A235" s="144"/>
      <c r="B235" s="144"/>
      <c r="C235" s="144"/>
      <c r="D235" s="144"/>
      <c r="E235" s="151"/>
      <c r="F235" s="144"/>
      <c r="G235" s="144"/>
    </row>
    <row r="236" spans="1:7" x14ac:dyDescent="0.25">
      <c r="A236" s="144"/>
      <c r="B236" s="144"/>
      <c r="C236" s="144"/>
      <c r="D236" s="144"/>
      <c r="E236" s="151"/>
      <c r="F236" s="144"/>
      <c r="G236" s="144"/>
    </row>
    <row r="237" spans="1:7" x14ac:dyDescent="0.25">
      <c r="A237" s="144"/>
      <c r="B237" s="144"/>
      <c r="C237" s="144"/>
      <c r="D237" s="144"/>
      <c r="E237" s="151"/>
      <c r="F237" s="144"/>
      <c r="G237" s="144"/>
    </row>
    <row r="238" spans="1:7" x14ac:dyDescent="0.25">
      <c r="A238" s="144"/>
      <c r="B238" s="144"/>
      <c r="C238" s="144"/>
      <c r="D238" s="144"/>
      <c r="E238" s="151"/>
      <c r="F238" s="144"/>
      <c r="G238" s="144"/>
    </row>
    <row r="239" spans="1:7" x14ac:dyDescent="0.25">
      <c r="A239" s="144"/>
      <c r="B239" s="144"/>
      <c r="C239" s="144"/>
      <c r="D239" s="144"/>
      <c r="E239" s="151"/>
      <c r="F239" s="144"/>
      <c r="G239" s="144"/>
    </row>
    <row r="240" spans="1:7" x14ac:dyDescent="0.25">
      <c r="A240" s="144"/>
      <c r="B240" s="144"/>
      <c r="C240" s="144"/>
      <c r="D240" s="144"/>
      <c r="E240" s="151"/>
      <c r="F240" s="144"/>
      <c r="G240" s="144"/>
    </row>
    <row r="241" spans="1:7" x14ac:dyDescent="0.25">
      <c r="A241" s="144"/>
      <c r="B241" s="144"/>
      <c r="C241" s="144"/>
      <c r="D241" s="144"/>
      <c r="E241" s="151"/>
      <c r="F241" s="144"/>
      <c r="G241" s="144"/>
    </row>
    <row r="242" spans="1:7" x14ac:dyDescent="0.25">
      <c r="A242" s="144"/>
      <c r="B242" s="144"/>
      <c r="C242" s="144"/>
      <c r="D242" s="144"/>
      <c r="E242" s="151"/>
      <c r="F242" s="144"/>
      <c r="G242" s="144"/>
    </row>
    <row r="243" spans="1:7" x14ac:dyDescent="0.25">
      <c r="A243" s="144"/>
      <c r="B243" s="144"/>
      <c r="C243" s="144"/>
      <c r="D243" s="144"/>
      <c r="E243" s="151"/>
      <c r="F243" s="144"/>
      <c r="G243" s="144"/>
    </row>
    <row r="244" spans="1:7" x14ac:dyDescent="0.25">
      <c r="A244" s="144"/>
      <c r="B244" s="144"/>
      <c r="C244" s="144"/>
      <c r="D244" s="144"/>
      <c r="E244" s="151"/>
      <c r="F244" s="144"/>
      <c r="G244" s="144"/>
    </row>
    <row r="245" spans="1:7" x14ac:dyDescent="0.25">
      <c r="A245" s="144"/>
      <c r="B245" s="144"/>
      <c r="C245" s="144"/>
      <c r="D245" s="144"/>
      <c r="E245" s="151"/>
      <c r="F245" s="144"/>
      <c r="G245" s="144"/>
    </row>
    <row r="246" spans="1:7" x14ac:dyDescent="0.25">
      <c r="A246" s="144"/>
      <c r="B246" s="144"/>
      <c r="C246" s="144"/>
      <c r="D246" s="144"/>
      <c r="E246" s="151"/>
      <c r="F246" s="144"/>
      <c r="G246" s="144"/>
    </row>
  </sheetData>
  <phoneticPr fontId="0" type="noConversion"/>
  <printOptions gridLinesSet="0"/>
  <pageMargins left="0.59055118110236227" right="0.39370078740157483" top="0.59055118110236227" bottom="0.59055118110236227" header="0.19685039370078741" footer="0.19685039370078741"/>
  <pageSetup paperSize="9" fitToHeight="7" orientation="landscape" horizontalDpi="300" r:id="rId1"/>
  <headerFooter alignWithMargins="0">
    <oddFooter>&amp;L&amp;9Zpracováno programem &amp;"Arial CE,Tučné"BUILDpower,  © RTS, a.s.&amp;R&amp;"Arial,Obyčejné"Strana &amp;P</oddFooter>
  </headerFooter>
  <rowBreaks count="1" manualBreakCount="1">
    <brk id="1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SloupecCH</vt:lpstr>
      <vt:lpstr>SloupecJC</vt:lpstr>
      <vt:lpstr>SloupecJH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JC</cp:lastModifiedBy>
  <cp:lastPrinted>2022-01-24T09:10:02Z</cp:lastPrinted>
  <dcterms:created xsi:type="dcterms:W3CDTF">2019-07-23T22:28:31Z</dcterms:created>
  <dcterms:modified xsi:type="dcterms:W3CDTF">2022-02-01T09:33:29Z</dcterms:modified>
</cp:coreProperties>
</file>